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drawings/drawing2.xml" ContentType="application/vnd.openxmlformats-officedocument.drawing+xml"/>
  <Override PartName="/xl/comments2.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pivotTables/pivotTable5.xml" ContentType="application/vnd.openxmlformats-officedocument.spreadsheetml.pivotTable+xml"/>
  <Override PartName="/xl/drawings/drawing5.xml" ContentType="application/vnd.openxmlformats-officedocument.drawing+xml"/>
  <Override PartName="/xl/comments4.xml" ContentType="application/vnd.openxmlformats-officedocument.spreadsheetml.comments+xml"/>
  <Override PartName="/xl/pivotTables/pivotTable6.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24226"/>
  <mc:AlternateContent xmlns:mc="http://schemas.openxmlformats.org/markup-compatibility/2006">
    <mc:Choice Requires="x15">
      <x15ac:absPath xmlns:x15ac="http://schemas.microsoft.com/office/spreadsheetml/2010/11/ac" url="C:\Users\Diana Carolina\Downloads\"/>
    </mc:Choice>
  </mc:AlternateContent>
  <xr:revisionPtr revIDLastSave="0" documentId="13_ncr:1_{77718D53-0D1A-4D08-A489-B4A343F7D78C}" xr6:coauthVersionLast="47" xr6:coauthVersionMax="47" xr10:uidLastSave="{00000000-0000-0000-0000-000000000000}"/>
  <bookViews>
    <workbookView xWindow="-120" yWindow="-120" windowWidth="20730" windowHeight="11160" firstSheet="1" activeTab="2" xr2:uid="{00000000-000D-0000-FFFF-FFFF00000000}"/>
  </bookViews>
  <sheets>
    <sheet name="TABLA DINÁMICA 2" sheetId="34" state="hidden" r:id="rId1"/>
    <sheet name="1. INVERSIÓN" sheetId="1" r:id="rId2"/>
    <sheet name="5. FUNCIONAMIENTO " sheetId="31" r:id="rId3"/>
    <sheet name="2. RESUMEN INVERSIÓN" sheetId="16" state="hidden" r:id="rId4"/>
    <sheet name="3. FUNCIONAMIENTO FINAL" sheetId="29" state="hidden" r:id="rId5"/>
    <sheet name="LISTADOS DESPLEGABLES" sheetId="32" state="hidden" r:id="rId6"/>
    <sheet name="4. RESUMEN FUNCIONAMIENTO" sheetId="30" state="hidden" r:id="rId7"/>
    <sheet name="5. TOPES INDICATIVOS" sheetId="10" state="hidden" r:id="rId8"/>
    <sheet name="CONTROL DE CAMBIOS " sheetId="17" state="hidden" r:id="rId9"/>
    <sheet name="DISTRIBUCIÓN" sheetId="19" state="hidden" r:id="rId10"/>
    <sheet name="DISTRIBUCIÓN 2" sheetId="20" state="hidden" r:id="rId11"/>
    <sheet name="VERSIÓN SIN QUITAR CEROS" sheetId="21" state="hidden" r:id="rId12"/>
    <sheet name="FÓRMULAS" sheetId="2" state="hidden" r:id="rId13"/>
  </sheets>
  <definedNames>
    <definedName name="_xlnm._FilterDatabase" localSheetId="1" hidden="1">'1. INVERSIÓN'!$A$2:$W$248</definedName>
    <definedName name="_xlnm._FilterDatabase" localSheetId="4" hidden="1">'3. FUNCIONAMIENTO FINAL'!$A$2:$WWL$2</definedName>
    <definedName name="_xlnm._FilterDatabase" localSheetId="2" hidden="1">'5. FUNCIONAMIENTO '!$A$2:$R$144</definedName>
    <definedName name="_xlnm._FilterDatabase" localSheetId="9" hidden="1">DISTRIBUCIÓN!$B$3:$S$3</definedName>
    <definedName name="ABRIL" comment="Máximo de meses para la contratación en este mes">FÓRMULAS!$E$23:$E$30</definedName>
    <definedName name="AGOSTO" comment="Máximo de meses para la contratación en este mes">FÓRMULAS!$I$23:$I$26</definedName>
    <definedName name="_xlnm.Print_Area" localSheetId="1">'1. INVERSIÓN'!$A$1:$W$21</definedName>
    <definedName name="DÍAS">FÓRMULAS!$I$2:$I$6</definedName>
    <definedName name="DICIEMBRE">FÓRMULAS!$M$23</definedName>
    <definedName name="ENERO" comment="Máximo de meses para la contratación en este mes">FÓRMULAS!$B$23:$B$33</definedName>
    <definedName name="FEBRERO" comment="Máximo de meses para la contratación en este mes">FÓRMULAS!$C$23:$C$32</definedName>
    <definedName name="FUENTE_DE_LOS_RECURSOS">FÓRMULAS!$K$2:$K$3</definedName>
    <definedName name="GC">FÓRMULAS!$Q$2</definedName>
    <definedName name="JULIO" comment="Máximo de meses para la contratación en este mes">FÓRMULAS!$H$23:$H$27</definedName>
    <definedName name="JUNIO" comment="Máximo de meses para la contratación en este mes">FÓRMULAS!$G$23:$G$28</definedName>
    <definedName name="MARZO" comment="Máximo de meses para la contratación en este mes">FÓRMULAS!$D$23:$D$31</definedName>
    <definedName name="MAYO">FÓRMULAS!$F$23:$F$29</definedName>
    <definedName name="MESES" comment="Meses del año">FÓRMULAS!$F$2:$F$13</definedName>
    <definedName name="MODALIDAD_DE_CONTRATACIÓN">FÓRMULAS!$J$2:$J$10</definedName>
    <definedName name="NOVIEMBRE">FÓRMULAS!$L$23</definedName>
    <definedName name="OCTUBRE">FÓRMULAS!$K$23:$K$24</definedName>
    <definedName name="PROCESOS">FÓRMULAS!$C$2:$C$13</definedName>
    <definedName name="SINO">FÓRMULAS!$N$2:$N$3</definedName>
    <definedName name="SUBDIRECCIÓN">FÓRMULAS!$B$2:$B$4</definedName>
    <definedName name="VF">FÓRMULAS!$P$2:$P$5</definedName>
  </definedNames>
  <calcPr calcId="191028"/>
  <pivotCaches>
    <pivotCache cacheId="0" r:id="rId14"/>
    <pivotCache cacheId="1" r:id="rId15"/>
    <pivotCache cacheId="2" r:id="rId16"/>
    <pivotCache cacheId="3"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10" l="1"/>
  <c r="G16" i="20" l="1"/>
  <c r="G17" i="20"/>
  <c r="G18" i="20"/>
  <c r="G19" i="20"/>
  <c r="G20" i="20"/>
  <c r="G21" i="20"/>
  <c r="G22" i="20"/>
  <c r="G23" i="20"/>
  <c r="G24" i="20"/>
  <c r="G25" i="20"/>
  <c r="G26" i="20"/>
  <c r="G27" i="20"/>
  <c r="G28" i="20"/>
  <c r="G29" i="20"/>
  <c r="G30" i="20"/>
  <c r="G31" i="20"/>
  <c r="G32" i="20"/>
  <c r="G33" i="20"/>
  <c r="G34" i="20"/>
  <c r="G35" i="20"/>
  <c r="G36" i="20"/>
  <c r="G37" i="20"/>
  <c r="G15" i="20"/>
  <c r="D10" i="10"/>
  <c r="D12" i="10"/>
  <c r="D6" i="10"/>
  <c r="D4" i="10"/>
  <c r="D11" i="10"/>
  <c r="D7" i="10"/>
  <c r="D9" i="10"/>
  <c r="D17" i="10"/>
  <c r="D8" i="10"/>
  <c r="D5" i="10" l="1"/>
  <c r="D38" i="20"/>
  <c r="C38" i="20"/>
  <c r="D8" i="20"/>
  <c r="C8" i="20"/>
  <c r="D22" i="20"/>
  <c r="C22" i="20"/>
  <c r="L68" i="29" l="1"/>
  <c r="L63" i="29"/>
  <c r="M43" i="29"/>
  <c r="L43" i="29"/>
  <c r="L30" i="29"/>
  <c r="L21" i="29"/>
  <c r="D19" i="10"/>
  <c r="D18" i="10"/>
  <c r="D16" i="10" l="1"/>
  <c r="R333" i="21" l="1"/>
  <c r="M333" i="21"/>
  <c r="M332" i="21"/>
  <c r="M331" i="21"/>
  <c r="M328" i="21"/>
  <c r="M327" i="21"/>
  <c r="M326" i="21"/>
  <c r="M325" i="21"/>
  <c r="M322" i="21"/>
  <c r="M321" i="21"/>
  <c r="M317" i="21"/>
  <c r="M316" i="21"/>
  <c r="M315" i="21"/>
  <c r="M314" i="21"/>
  <c r="M313" i="21"/>
  <c r="M312" i="21"/>
  <c r="M311" i="21"/>
  <c r="M310" i="21"/>
  <c r="M309" i="21"/>
  <c r="M308" i="21"/>
  <c r="M305" i="21"/>
  <c r="M297" i="21"/>
  <c r="M295" i="21"/>
  <c r="M293" i="21"/>
  <c r="M292" i="21"/>
  <c r="M291" i="21"/>
  <c r="M289" i="21"/>
  <c r="M288" i="21"/>
  <c r="M286" i="21"/>
  <c r="M285" i="21"/>
  <c r="M284" i="21"/>
  <c r="M283" i="21"/>
  <c r="M282" i="21"/>
  <c r="R280" i="21"/>
  <c r="M280" i="21"/>
  <c r="M279" i="21"/>
  <c r="M277" i="21"/>
  <c r="M276" i="21"/>
  <c r="M272" i="21"/>
  <c r="M271" i="21"/>
  <c r="M270" i="21"/>
  <c r="M266" i="21"/>
  <c r="M263" i="21"/>
  <c r="M261" i="21"/>
  <c r="M260" i="21"/>
  <c r="M259" i="21"/>
  <c r="M257" i="21"/>
  <c r="M256" i="21"/>
  <c r="M255" i="21"/>
  <c r="M253" i="21"/>
  <c r="M252" i="21"/>
  <c r="M251" i="21"/>
  <c r="M250" i="21"/>
  <c r="M249" i="21"/>
  <c r="M247" i="21"/>
  <c r="M246" i="21"/>
  <c r="M245" i="21"/>
  <c r="M243" i="21"/>
  <c r="M242" i="21"/>
  <c r="M237" i="21"/>
  <c r="M234" i="21"/>
  <c r="M232" i="21"/>
  <c r="M231" i="21"/>
  <c r="M230" i="21"/>
  <c r="M229" i="21"/>
  <c r="M228" i="21"/>
  <c r="M227" i="21"/>
  <c r="M226" i="21"/>
  <c r="AF223" i="21"/>
  <c r="AE223" i="21"/>
  <c r="M223" i="21"/>
  <c r="AF219" i="21"/>
  <c r="AE219" i="21"/>
  <c r="AF218" i="21"/>
  <c r="AF216" i="21"/>
  <c r="AE216" i="21"/>
  <c r="AF215" i="21"/>
  <c r="AE215" i="21"/>
  <c r="AF214" i="21"/>
  <c r="AE214" i="21"/>
  <c r="M213" i="21"/>
  <c r="M212" i="21"/>
  <c r="M210" i="21"/>
  <c r="AF208" i="21"/>
  <c r="AE208" i="21"/>
  <c r="AF207" i="21"/>
  <c r="AE207" i="21"/>
  <c r="AF206" i="21"/>
  <c r="AE206" i="21"/>
  <c r="AF205" i="21"/>
  <c r="AE205" i="21"/>
  <c r="M200" i="21"/>
  <c r="AE194" i="21"/>
  <c r="M194" i="21"/>
  <c r="M186" i="21"/>
  <c r="M184" i="21"/>
  <c r="M183" i="21"/>
  <c r="AE182" i="21"/>
  <c r="M182" i="21"/>
  <c r="AE181" i="21"/>
  <c r="AE176" i="21"/>
  <c r="AE175" i="21"/>
  <c r="AE174" i="21"/>
  <c r="M174" i="21"/>
  <c r="AD173" i="21"/>
  <c r="M171" i="21"/>
  <c r="M170" i="21"/>
  <c r="M169" i="21"/>
  <c r="M168" i="21"/>
  <c r="M167" i="21"/>
  <c r="M166" i="21"/>
  <c r="M165" i="21"/>
  <c r="M164" i="21"/>
  <c r="M163" i="21"/>
  <c r="M162" i="21"/>
  <c r="M161" i="21"/>
  <c r="M160" i="21"/>
  <c r="M155" i="21"/>
  <c r="M154" i="21"/>
  <c r="M142" i="21"/>
  <c r="M135" i="21"/>
  <c r="M134" i="21"/>
  <c r="M130" i="21"/>
  <c r="R127" i="21"/>
  <c r="M127" i="21"/>
  <c r="M120" i="21"/>
  <c r="M103" i="21"/>
  <c r="R92" i="21"/>
  <c r="M92" i="21"/>
  <c r="M88" i="21"/>
  <c r="M72" i="21"/>
  <c r="M64" i="21"/>
  <c r="M62" i="21"/>
  <c r="M59" i="21"/>
  <c r="M58" i="21"/>
  <c r="M56" i="21"/>
  <c r="M55" i="21"/>
  <c r="M47" i="21"/>
  <c r="M46" i="21"/>
  <c r="M45" i="21"/>
  <c r="M44" i="21"/>
  <c r="M43" i="21"/>
  <c r="M42" i="21"/>
  <c r="M41" i="21"/>
  <c r="M40" i="21"/>
  <c r="M39" i="21"/>
  <c r="M38" i="21"/>
  <c r="M37" i="21"/>
  <c r="M36" i="21"/>
  <c r="M35" i="21"/>
  <c r="M34" i="21"/>
  <c r="M33" i="21"/>
  <c r="M32" i="21"/>
  <c r="M31" i="21"/>
  <c r="M30" i="21"/>
  <c r="M29" i="21"/>
  <c r="M28" i="21"/>
  <c r="M27" i="21"/>
  <c r="M26" i="21"/>
  <c r="M25" i="21"/>
  <c r="M24" i="21"/>
  <c r="M23" i="21"/>
  <c r="M22" i="21"/>
  <c r="M18" i="21"/>
  <c r="M6" i="21"/>
  <c r="M5" i="21"/>
  <c r="M4" i="21"/>
  <c r="M1" i="21"/>
  <c r="H12" i="19"/>
  <c r="F6" i="10" l="1"/>
  <c r="F12" i="10" l="1"/>
  <c r="H20" i="10" l="1"/>
  <c r="H48" i="19" l="1"/>
  <c r="H46" i="19"/>
  <c r="J45" i="19"/>
  <c r="J44" i="19"/>
  <c r="J39" i="19" s="1"/>
  <c r="H43" i="19"/>
  <c r="H42" i="19"/>
  <c r="H41" i="19"/>
  <c r="H40" i="19" s="1"/>
  <c r="H39" i="19" s="1"/>
  <c r="I39" i="19"/>
  <c r="P39" i="19" s="1"/>
  <c r="J38" i="19"/>
  <c r="J37" i="19"/>
  <c r="I37" i="19"/>
  <c r="H35" i="19"/>
  <c r="J34" i="19"/>
  <c r="J33" i="19" s="1"/>
  <c r="I33" i="19"/>
  <c r="H31" i="19"/>
  <c r="J30" i="19"/>
  <c r="J29" i="19" s="1"/>
  <c r="I29" i="19"/>
  <c r="H27" i="19"/>
  <c r="H26" i="19" s="1"/>
  <c r="H24" i="19"/>
  <c r="H23" i="19"/>
  <c r="H22" i="19" s="1"/>
  <c r="I22" i="19"/>
  <c r="J21" i="19"/>
  <c r="J20" i="19"/>
  <c r="I20" i="19"/>
  <c r="H19" i="19"/>
  <c r="H18" i="19" s="1"/>
  <c r="J16" i="19"/>
  <c r="J15" i="19" s="1"/>
  <c r="I16" i="19"/>
  <c r="I15" i="19" s="1"/>
  <c r="H14" i="19"/>
  <c r="H13" i="19" s="1"/>
  <c r="C13" i="19"/>
  <c r="H11" i="19"/>
  <c r="I11" i="19"/>
  <c r="J10" i="19"/>
  <c r="J9" i="19" s="1"/>
  <c r="I10" i="19"/>
  <c r="I9" i="19"/>
  <c r="I4" i="19" s="1"/>
  <c r="H8" i="19"/>
  <c r="H7" i="19" s="1"/>
  <c r="C7" i="19"/>
  <c r="H6" i="19"/>
  <c r="L4" i="19"/>
  <c r="J4" i="19" l="1"/>
  <c r="J17" i="19"/>
  <c r="I17" i="19"/>
  <c r="O17" i="19" s="1"/>
  <c r="Q39" i="19"/>
  <c r="N39" i="19"/>
  <c r="M39" i="19"/>
  <c r="H17" i="19"/>
  <c r="H5" i="19"/>
  <c r="O4" i="19"/>
  <c r="P4" i="19"/>
  <c r="H4" i="19"/>
  <c r="O39" i="19"/>
  <c r="J52" i="19"/>
  <c r="I72" i="19" l="1"/>
  <c r="H72" i="19"/>
  <c r="E19" i="10"/>
  <c r="H19" i="10"/>
  <c r="H4" i="10"/>
  <c r="H6" i="10"/>
  <c r="M17" i="19"/>
  <c r="N17" i="19"/>
  <c r="P17" i="19" s="1"/>
  <c r="M4" i="19"/>
  <c r="N4" i="19"/>
  <c r="H7" i="10" l="1"/>
  <c r="H8" i="10"/>
  <c r="H17" i="10"/>
  <c r="H10" i="10"/>
  <c r="H9" i="10"/>
  <c r="H12" i="10"/>
  <c r="H18" i="10"/>
  <c r="H11" i="10"/>
  <c r="H14" i="10"/>
  <c r="D15" i="10"/>
  <c r="D13" i="10" l="1"/>
  <c r="D21" i="10" s="1"/>
  <c r="H15" i="10"/>
  <c r="H16" i="10"/>
  <c r="E4" i="10" l="1"/>
  <c r="G2" i="10" s="1"/>
  <c r="E20" i="10" l="1"/>
  <c r="E12" i="10" l="1"/>
  <c r="E6" i="10" l="1"/>
  <c r="E7" i="10"/>
  <c r="E8" i="10"/>
  <c r="E9" i="10"/>
  <c r="E10" i="10"/>
  <c r="E11" i="10"/>
  <c r="H13" i="10"/>
  <c r="E14" i="10"/>
  <c r="E15" i="10"/>
  <c r="E17" i="10"/>
  <c r="E18" i="10"/>
  <c r="H5" i="10" l="1"/>
  <c r="H21" i="10" s="1"/>
  <c r="E5" i="10"/>
  <c r="E16" i="10"/>
  <c r="E13" i="10"/>
  <c r="E2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Cristian.Velandia</author>
    <author>tc={7A8E6F81-A52C-44F6-A8A5-83E32AF7455B}</author>
    <author>tc={7038FC27-0182-DE44-B693-E39FC391F5D4}</author>
    <author>tc={F15A75E6-24CD-234F-A527-713E4683BCCD}</author>
    <author>tc={C9C5DCF5-0A7E-F847-8925-05BA3652D31E}</author>
    <author>tc={E8D1D546-D4DE-7047-8D4B-326C4D842D50}</author>
    <author>tc={5EC205CA-3738-8349-B60F-78878F7186D7}</author>
    <author>tc={6701CD25-AA83-604C-8917-83182860A359}</author>
    <author>Cristian  Armando Velandia Mora</author>
    <author>tc={E8D1D546-D4DE-7046-8D4B-326C4D842D50}</author>
    <author>tc={5EC205CA-3738-8348-B60F-78878F7186D7}</author>
    <author>tc={57B593C6-7F8E-8448-B4B1-57267B0FDFF8}</author>
    <author>tc={B31D77F7-2ED6-1F4E-A235-BA3B813C20DE}</author>
    <author>tc={8636F280-86E5-A946-8C31-7B595C2A62AF}</author>
  </authors>
  <commentList>
    <comment ref="B1" authorId="0" shapeId="0" xr:uid="{00000000-0006-0000-0000-000001000000}">
      <text>
        <r>
          <rPr>
            <b/>
            <sz val="9"/>
            <color rgb="FF000000"/>
            <rFont val="Tahoma"/>
            <family val="2"/>
          </rPr>
          <t>Cristian.Velandia:</t>
        </r>
        <r>
          <rPr>
            <sz val="9"/>
            <color rgb="FF000000"/>
            <rFont val="Tahoma"/>
            <family val="2"/>
          </rPr>
          <t xml:space="preserve">
</t>
        </r>
        <r>
          <rPr>
            <sz val="9"/>
            <color rgb="FF000000"/>
            <rFont val="Tahoma"/>
            <family val="2"/>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r>
          <rPr>
            <sz val="9"/>
            <color rgb="FF000000"/>
            <rFont val="Tahoma"/>
            <family val="2"/>
          </rPr>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r>
      </text>
    </comment>
    <comment ref="L1" authorId="1" shapeId="0" xr:uid="{7A8E6F81-A52C-44F6-A8A5-83E32AF7455B}">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al valor aprobado en el Decreto 1793 de 2021</t>
      </text>
    </comment>
    <comment ref="M46" authorId="2" shapeId="0" xr:uid="{7038FC27-0182-DE44-B693-E39FC391F5D4}">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adquisición sale por Nación y una parte de propios para corresponder a la distribución de los rubros</t>
      </text>
    </comment>
    <comment ref="M62" authorId="3" shapeId="0" xr:uid="{F15A75E6-24CD-234F-A527-713E4683BCC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reduce en $9.960 para ajustarnos a la distribución de propios</t>
      </text>
    </comment>
    <comment ref="M111" authorId="4" shapeId="0" xr:uid="{C9C5DCF5-0A7E-F847-8925-05BA3652D31E}">
      <text>
        <t>[Comentario encadenado]
Su versión de Excel le permite leer este comentario encadenado; sin embargo, las ediciones que se apliquen se quitarán si el archivo se abre en una versión más reciente de Excel. Más información: https://go.microsoft.com/fwlink/?linkid=870924
Comentario:
    Adquisición sale por dos rubros</t>
      </text>
    </comment>
    <comment ref="M123" authorId="5" shapeId="0" xr:uid="{570F5096-2B2B-47CA-B5CB-629F6CB6CB28}">
      <text>
        <t>[Comentario encadenado]
Su versión de Excel le permite leer este comentario encadenado; sin embargo, las ediciones que se apliquen se quitarán si el archivo se abre en una versión más reciente de Excel. Más información: https://go.microsoft.com/fwlink/?linkid=870924
Comentario:
    Adquisición se abre para que salga por dos rubros</t>
      </text>
    </comment>
    <comment ref="M124" authorId="6" shapeId="0" xr:uid="{CEA751FD-9144-4736-AEE4-BDB77E04C295}">
      <text>
        <t>[Comentario encadenado]
Su versión de Excel le permite leer este comentario encadenado; sin embargo, las ediciones que se apliquen se quitarán si el archivo se abre en una versión más reciente de Excel. Más información: https://go.microsoft.com/fwlink/?linkid=870924
Comentario:
    Adquisición se abre para que salga por dos rubros</t>
      </text>
    </comment>
    <comment ref="M125" authorId="7" shapeId="0" xr:uid="{6701CD25-AA83-604C-8917-83182860A35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 abre adquisición para que salga por dos rubros
</t>
      </text>
    </comment>
    <comment ref="M130" authorId="8" shapeId="0" xr:uid="{BE65DE93-C1AD-5F47-97AF-5C6AAEA1344A}">
      <text>
        <r>
          <rPr>
            <b/>
            <sz val="9"/>
            <color rgb="FF000000"/>
            <rFont val="Tahoma"/>
            <family val="2"/>
          </rPr>
          <t>Cristian  Armando Velandia Mora:</t>
        </r>
        <r>
          <rPr>
            <sz val="9"/>
            <color rgb="FF000000"/>
            <rFont val="Tahoma"/>
            <family val="2"/>
          </rPr>
          <t xml:space="preserve">
</t>
        </r>
        <r>
          <rPr>
            <sz val="9"/>
            <color rgb="FF000000"/>
            <rFont val="Tahoma"/>
            <family val="2"/>
          </rPr>
          <t xml:space="preserve">NALAC
</t>
        </r>
      </text>
    </comment>
    <comment ref="F133" authorId="8" shapeId="0" xr:uid="{FFFA85F7-EFC3-43FA-97A6-8508F480EC84}">
      <text>
        <r>
          <rPr>
            <b/>
            <sz val="9"/>
            <color indexed="81"/>
            <rFont val="Tahoma"/>
            <family val="2"/>
          </rPr>
          <t>Cristian  Armando Velandia Mora: Se unifica esta adquisicion con la contratación del grupo de Planeación</t>
        </r>
      </text>
    </comment>
    <comment ref="M133" authorId="9" shapeId="0" xr:uid="{E8D1D546-D4DE-7046-8D4B-326C4D842D50}">
      <text>
        <t>[Comentario encadenado]
Su versión de Excel le permite leer este comentario encadenado; sin embargo, las ediciones que se apliquen se quitarán si el archivo se abre en una versión más reciente de Excel. Más información: https://go.microsoft.com/fwlink/?linkid=870924
Comentario:
    Adquisición se abre para que salga por dos rubros</t>
      </text>
    </comment>
    <comment ref="F134" authorId="8" shapeId="0" xr:uid="{53F988FC-8D2B-4BEA-BF89-D83DD08FC078}">
      <text>
        <r>
          <rPr>
            <b/>
            <sz val="9"/>
            <color indexed="81"/>
            <rFont val="Tahoma"/>
            <family val="2"/>
          </rPr>
          <t>Cristian  Armando Velandia Mora:</t>
        </r>
        <r>
          <rPr>
            <sz val="9"/>
            <color indexed="81"/>
            <rFont val="Tahoma"/>
            <family val="2"/>
          </rPr>
          <t xml:space="preserve">
Se unifica esta adquisicion con la de Planeación, en un solo contrato</t>
        </r>
      </text>
    </comment>
    <comment ref="M134" authorId="10" shapeId="0" xr:uid="{5EC205CA-3738-8348-B60F-78878F7186D7}">
      <text>
        <t>[Comentario encadenado]
Su versión de Excel le permite leer este comentario encadenado; sin embargo, las ediciones que se apliquen se quitarán si el archivo se abre en una versión más reciente de Excel. Más información: https://go.microsoft.com/fwlink/?linkid=870924
Comentario:
    Adquisición se abre para que salga por dos rubros</t>
      </text>
    </comment>
    <comment ref="M141" authorId="11" shapeId="0" xr:uid="{57B593C6-7F8E-8448-B4B1-57267B0FDFF8}">
      <text>
        <t>[Comentario encadenado]
Su versión de Excel le permite leer este comentario encadenado; sin embargo, las ediciones que se apliquen se quitarán si el archivo se abre en una versión más reciente de Excel. Más información: https://go.microsoft.com/fwlink/?linkid=870924
Comentario:
    Necesidad se are en varios rubros</t>
      </text>
    </comment>
    <comment ref="M224" authorId="12" shapeId="0" xr:uid="{B31D77F7-2ED6-1F4E-A235-BA3B813C20D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abriendo el rubro, una parte en propios y otra de nación</t>
      </text>
    </comment>
    <comment ref="M235" authorId="13" shapeId="0" xr:uid="{8636F280-86E5-A946-8C31-7B595C2A62A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Valor de adquisición ajustado de acuerdo a la distribución de propios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Cristian.Velandia</author>
    <author>fernando.cortes</author>
  </authors>
  <commentList>
    <comment ref="B1" authorId="0" shapeId="0" xr:uid="{9CA3F52B-457D-114E-B2E4-E5E8768CDDED}">
      <text>
        <r>
          <rPr>
            <b/>
            <sz val="9"/>
            <color indexed="81"/>
            <rFont val="Tahoma"/>
            <family val="2"/>
          </rPr>
          <t>Cristian.Velandia:</t>
        </r>
        <r>
          <rPr>
            <sz val="9"/>
            <color indexed="81"/>
            <rFont val="Tahoma"/>
            <family val="2"/>
          </rPr>
          <t xml:space="preserve">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r>
      </text>
    </comment>
    <comment ref="J2" authorId="1" shapeId="0" xr:uid="{77B70212-EAFE-1A4D-8805-1AE92E10121F}">
      <text>
        <r>
          <rPr>
            <b/>
            <sz val="12"/>
            <color rgb="FF000000"/>
            <rFont val="Tahoma"/>
            <family val="2"/>
          </rPr>
          <t>fernando.cortes:</t>
        </r>
        <r>
          <rPr>
            <sz val="12"/>
            <color rgb="FF000000"/>
            <rFont val="Tahoma"/>
            <family val="2"/>
          </rPr>
          <t xml:space="preserve">
</t>
        </r>
        <r>
          <rPr>
            <sz val="12"/>
            <color rgb="FF000000"/>
            <rFont val="Tahoma"/>
            <family val="2"/>
          </rPr>
          <t xml:space="preserve">Importante que cuando se deje la versión definitiva del PAA, se verifique con el Grupo de gestión contractual la modalidad del contrato. </t>
        </r>
        <r>
          <rPr>
            <sz val="9"/>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Cristian.Velandia</author>
    <author>fernando.cortes</author>
  </authors>
  <commentList>
    <comment ref="B1" authorId="0" shapeId="0" xr:uid="{DEBA1BD1-9CB1-A340-B0DB-59A134E557DA}">
      <text>
        <r>
          <rPr>
            <b/>
            <sz val="9"/>
            <color rgb="FF000000"/>
            <rFont val="Tahoma"/>
            <family val="2"/>
          </rPr>
          <t>Cristian.Velandia:</t>
        </r>
        <r>
          <rPr>
            <sz val="9"/>
            <color rgb="FF000000"/>
            <rFont val="Tahoma"/>
            <family val="2"/>
          </rPr>
          <t xml:space="preserve">
</t>
        </r>
        <r>
          <rPr>
            <sz val="9"/>
            <color rgb="FF000000"/>
            <rFont val="Tahoma"/>
            <family val="2"/>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r>
          <rPr>
            <sz val="9"/>
            <color rgb="FF000000"/>
            <rFont val="Tahoma"/>
            <family val="2"/>
          </rPr>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r>
      </text>
    </comment>
    <comment ref="J2" authorId="1" shapeId="0" xr:uid="{6C4F4B02-941B-8E4F-8278-615B5E1E86E7}">
      <text>
        <r>
          <rPr>
            <b/>
            <sz val="12"/>
            <color rgb="FF000000"/>
            <rFont val="Tahoma"/>
            <family val="2"/>
          </rPr>
          <t>fernando.cortes:</t>
        </r>
        <r>
          <rPr>
            <sz val="12"/>
            <color rgb="FF000000"/>
            <rFont val="Tahoma"/>
            <family val="2"/>
          </rPr>
          <t xml:space="preserve">
</t>
        </r>
        <r>
          <rPr>
            <sz val="12"/>
            <color rgb="FF000000"/>
            <rFont val="Tahoma"/>
            <family val="2"/>
          </rPr>
          <t xml:space="preserve">Importante que cuando se deje la versión definitiva del PAA, se verifique con el Grupo de gestión contractual la modalidad del contrato. </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Auris Margarita Mendoza Ureche</author>
  </authors>
  <commentList>
    <comment ref="H13" authorId="0" shapeId="0" xr:uid="{2A7E585D-7242-CD44-A7C6-6D0D5CFC52F0}">
      <text>
        <r>
          <rPr>
            <b/>
            <sz val="9"/>
            <color rgb="FF000000"/>
            <rFont val="Tahoma"/>
            <family val="2"/>
          </rPr>
          <t>Auris Margarita Mendoza Ureche:</t>
        </r>
        <r>
          <rPr>
            <sz val="9"/>
            <color rgb="FF000000"/>
            <rFont val="Tahoma"/>
            <family val="2"/>
          </rPr>
          <t xml:space="preserve">
</t>
        </r>
        <r>
          <rPr>
            <sz val="9"/>
            <color rgb="FF000000"/>
            <rFont val="Tahoma"/>
            <family val="2"/>
          </rPr>
          <t xml:space="preserve">Revisar
</t>
        </r>
        <r>
          <rPr>
            <sz val="9"/>
            <color rgb="FF000000"/>
            <rFont val="Tahoma"/>
            <family val="2"/>
          </rPr>
          <t xml:space="preserve">CV
</t>
        </r>
        <r>
          <rPr>
            <sz val="9"/>
            <color rgb="FF000000"/>
            <rFont val="Tahoma"/>
            <family val="2"/>
          </rPr>
          <t>Revisado y ajustado</t>
        </r>
      </text>
    </comment>
    <comment ref="B21" authorId="0" shapeId="0" xr:uid="{F6F0DBED-7913-3D44-BF62-A929EB6AB711}">
      <text>
        <r>
          <rPr>
            <b/>
            <sz val="9"/>
            <color indexed="81"/>
            <rFont val="Tahoma"/>
            <family val="2"/>
          </rPr>
          <t>Auris Margarita Mendoza Ureche:</t>
        </r>
        <r>
          <rPr>
            <sz val="9"/>
            <color indexed="81"/>
            <rFont val="Tahoma"/>
            <family val="2"/>
          </rPr>
          <t xml:space="preserve">
SERÁ 3302002-03?
CV
Corregido</t>
        </r>
      </text>
    </comment>
    <comment ref="B30" authorId="0" shapeId="0" xr:uid="{D3F0835E-895E-E749-B5F9-FCDEAA32EC2C}">
      <text>
        <r>
          <rPr>
            <b/>
            <sz val="9"/>
            <color indexed="81"/>
            <rFont val="Tahoma"/>
            <family val="2"/>
          </rPr>
          <t>Auris Margarita Mendoza Ureche:</t>
        </r>
        <r>
          <rPr>
            <sz val="9"/>
            <color indexed="81"/>
            <rFont val="Tahoma"/>
            <family val="2"/>
          </rPr>
          <t xml:space="preserve">
SERÁ 3302068-03?
SI ES 3302068-03, DEBE CAMBIARSE LA FILA PARA DESPUÉS DEL 330
2068-02
Corregido </t>
        </r>
      </text>
    </comment>
    <comment ref="B34" authorId="0" shapeId="0" xr:uid="{C96E6E20-B482-D64D-84E9-AAE5E4A7DA2A}">
      <text>
        <r>
          <rPr>
            <b/>
            <sz val="9"/>
            <color indexed="81"/>
            <rFont val="Tahoma"/>
            <family val="2"/>
          </rPr>
          <t>Auris Margarita Mendoza Ureche:</t>
        </r>
        <r>
          <rPr>
            <sz val="9"/>
            <color indexed="81"/>
            <rFont val="Tahoma"/>
            <family val="2"/>
          </rPr>
          <t xml:space="preserve">
SERÁ 3302069-03?
CV
Corregido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Cristian.Velandia</author>
    <author>tc={FF9CA965-A0FB-AC49-8129-3AC95D63210A}</author>
    <author>tc={A07290F8-D5C2-3446-91AB-EE67AA08EA02}</author>
    <author>tc={820FD83C-7101-804F-84A1-4D0AD433D14F}</author>
    <author>tc={F9BA4327-F347-0F44-8A4B-A023B1F1FA1C}</author>
    <author>tc={968AABEF-8B80-504C-8E8E-569CE72ADFAE}</author>
    <author>Cristian  Armando Velandia Mora</author>
    <author>tc={1E707208-42DB-DF40-83D4-7B4E3AC64D8B}</author>
    <author>tc={39E4F08A-5417-1A47-A5D6-7B93AD04CC62}</author>
    <author>tc={F0F331AA-0ADA-F247-A88A-5CEA3F52C2BC}</author>
  </authors>
  <commentList>
    <comment ref="B1" authorId="0" shapeId="0" xr:uid="{3F7187A3-8FAC-4747-ADC6-F9013D72C873}">
      <text>
        <r>
          <rPr>
            <b/>
            <sz val="9"/>
            <color rgb="FF000000"/>
            <rFont val="Tahoma"/>
            <family val="2"/>
          </rPr>
          <t>Cristian.Velandia:</t>
        </r>
        <r>
          <rPr>
            <sz val="9"/>
            <color rgb="FF000000"/>
            <rFont val="Tahoma"/>
            <family val="2"/>
          </rPr>
          <t xml:space="preserve">
</t>
        </r>
        <r>
          <rPr>
            <sz val="9"/>
            <color rgb="FF000000"/>
            <rFont val="Tahoma"/>
            <family val="2"/>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r>
          <rPr>
            <sz val="9"/>
            <color rgb="FF000000"/>
            <rFont val="Tahoma"/>
            <family val="2"/>
          </rPr>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r>
      </text>
    </comment>
    <comment ref="M59" authorId="1" shapeId="0" xr:uid="{FF9CA965-A0FB-AC49-8129-3AC95D63210A}">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adquisición sale por Nación y una parte de propios para corresponder a la distribución de los rubros</t>
      </text>
    </comment>
    <comment ref="M103" authorId="2" shapeId="0" xr:uid="{A07290F8-D5C2-3446-91AB-EE67AA08EA0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Valor de adquisición ajustado de acuerdo a la distribución de propios
</t>
      </text>
    </comment>
    <comment ref="R127" authorId="3" shapeId="0" xr:uid="{820FD83C-7101-804F-84A1-4D0AD433D14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ajusta para que el valor paneado salga por dos rubros diferentes
</t>
      </text>
    </comment>
    <comment ref="M130" authorId="4" shapeId="0" xr:uid="{F9BA4327-F347-0F44-8A4B-A023B1F1FA1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reduce en $9.960 para ajustarnos a la distribución de propios</t>
      </text>
    </comment>
    <comment ref="M248" authorId="5" shapeId="0" xr:uid="{968AABEF-8B80-504C-8E8E-569CE72ADFA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 abre adquisición para que salga por dos rubros
</t>
      </text>
    </comment>
    <comment ref="M253" authorId="6" shapeId="0" xr:uid="{785BC7D3-E30C-A141-9F1C-B8A682AB8462}">
      <text>
        <r>
          <rPr>
            <b/>
            <sz val="9"/>
            <color indexed="81"/>
            <rFont val="Tahoma"/>
            <family val="2"/>
          </rPr>
          <t>Cristian  Armando Velandia Mora:</t>
        </r>
        <r>
          <rPr>
            <sz val="9"/>
            <color indexed="81"/>
            <rFont val="Tahoma"/>
            <family val="2"/>
          </rPr>
          <t xml:space="preserve">
NALAC
</t>
        </r>
      </text>
    </comment>
    <comment ref="M257" authorId="7" shapeId="0" xr:uid="{1E707208-42DB-DF40-83D4-7B4E3AC64D8B}">
      <text>
        <t>[Comentario encadenado]
Su versión de Excel le permite leer este comentario encadenado; sin embargo, las ediciones que se apliquen se quitarán si el archivo se abre en una versión más reciente de Excel. Más información: https://go.microsoft.com/fwlink/?linkid=870924
Comentario:
    Adquisición se abre para que salga por dos rubros</t>
      </text>
    </comment>
    <comment ref="M258" authorId="8" shapeId="0" xr:uid="{39E4F08A-5417-1A47-A5D6-7B93AD04CC62}">
      <text>
        <t>[Comentario encadenado]
Su versión de Excel le permite leer este comentario encadenado; sin embargo, las ediciones que se apliquen se quitarán si el archivo se abre en una versión más reciente de Excel. Más información: https://go.microsoft.com/fwlink/?linkid=870924
Comentario:
    Adquisición se abre para que salga por dos rubros</t>
      </text>
    </comment>
    <comment ref="M328" authorId="9" shapeId="0" xr:uid="{F0F331AA-0ADA-F247-A88A-5CEA3F52C2B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abriendo el rubro, una parte en propios y otra de nación</t>
      </text>
    </comment>
  </commentList>
</comments>
</file>

<file path=xl/sharedStrings.xml><?xml version="1.0" encoding="utf-8"?>
<sst xmlns="http://schemas.openxmlformats.org/spreadsheetml/2006/main" count="11819" uniqueCount="1235">
  <si>
    <t>Etiquetas de fila</t>
  </si>
  <si>
    <t>Suma de VALOR FINAL</t>
  </si>
  <si>
    <t>CONSOLIDACIÓN DE LAS FUNCIONES MISIONALES, FORMACIÓN, DOCENCIA Y APROPIACIÓN SOCIAL
DEL CONOCIMIENTO, DEL INSTITUTO CARO Y CUERVO A NIVEL NACIONAL BOGOTÁ, CHÍA</t>
  </si>
  <si>
    <t>NACIÓN</t>
  </si>
  <si>
    <t>DOCUMENTOS INVESTIGACIÓN</t>
  </si>
  <si>
    <t>SERVICIO DE DIVULGACIÓN Y PUBLICACIÓN DEL PATRIMONIO CULTURAL</t>
  </si>
  <si>
    <t>SERVICIO DE EXPOSICIONES</t>
  </si>
  <si>
    <t>SERVICIO DE PRODUCCIÓN DE CONTENIDOS EN RADIO EMISORA VIRTUAL</t>
  </si>
  <si>
    <t>SERVICIOS DE EDUCACIÓN FORMAL DE POSGRADO</t>
  </si>
  <si>
    <t>SERVICIOS DE EDUCACIÓN INFORMAL PARA LA PROMOCIÓN Y DIVULGACIÓN DE LA DIVERSIDAD LINGÜÍSTICA Y SUS MEDIOS DE EXPRESIÓN Y DIFUSIÓN</t>
  </si>
  <si>
    <t>PROPIOS</t>
  </si>
  <si>
    <t>FORTALECIMIENTO DE LOS SISTEMAS DE GESTIÓN PARA LA ADECUACIÓN, PROTECCIÓN Y
SALVAGUARDIA DEL PATRIMONIO CULTURAL DEL INSTITUTO CARO Y CUERVO BOGOTÁ</t>
  </si>
  <si>
    <t xml:space="preserve">DOCUMENTOS DE PLANEACIÓN   </t>
  </si>
  <si>
    <t>SEDES MANTENIDAS</t>
  </si>
  <si>
    <t>SERVICIO DE IMPLEMENTACIÓN DEL SISTEMA DE GESTIÓN</t>
  </si>
  <si>
    <t>INCREMENTO DE RECURSOS FÍSICOS PARA EL APOYO ACADÉMICO Y MUSEAL DEL INSTITUTO CARO
Y CUERVO BOGOTÁ</t>
  </si>
  <si>
    <t>SERVICIOS BIBLIOTECARIOS USUARIOS ATENDIDOS</t>
  </si>
  <si>
    <t>Total general</t>
  </si>
  <si>
    <t>FORMATO DE SOLICITUD DEL PLAN ANUAL DE ADQUISICIONES</t>
  </si>
  <si>
    <t>Código: PLA-F-02
Versión: 1.0
Página: N.A
Fecha: 11/09/2017</t>
  </si>
  <si>
    <t>REVISIÓN ESTUDIOS PREVIOS</t>
  </si>
  <si>
    <t>EXPEDICIÓN DE CDP</t>
  </si>
  <si>
    <t>Código UNSPSC (Clasificador de Bienes y Servicios)</t>
  </si>
  <si>
    <t>SUBDIRECCIÓN</t>
  </si>
  <si>
    <t>ÁREA</t>
  </si>
  <si>
    <t>PROCESO</t>
  </si>
  <si>
    <t>PROYECTO CORRESPONDIENTE</t>
  </si>
  <si>
    <t>DESCRIPCIÓN DE LA ADQUISICIÓN</t>
  </si>
  <si>
    <t>MES ESTIMADO DE INICIO DEL CONTRATO</t>
  </si>
  <si>
    <t>FECHA DE PRESENTACIÓN DE OFERTAS</t>
  </si>
  <si>
    <t>DURACIÓN ESTIMADA DEL CONTRATO (MESES)</t>
  </si>
  <si>
    <t>DURACIÓN ESTIMADA DEL CONTRATO (DÍAS)</t>
  </si>
  <si>
    <t>MODALIDAD DE SELECCIÓN</t>
  </si>
  <si>
    <t>FUENTE DE LOS RECURSOS</t>
  </si>
  <si>
    <t>VALOR FINAL</t>
  </si>
  <si>
    <t>CODIGO BPIN</t>
  </si>
  <si>
    <t>PROYECTO DE INVERSIÓN</t>
  </si>
  <si>
    <t>CÓDIGO PRESUPUESTAL</t>
  </si>
  <si>
    <t>PRODUCTO SUIFP</t>
  </si>
  <si>
    <t>ACTIVIDAD</t>
  </si>
  <si>
    <t>SE REQUIEREN VIGENCIAS FUTURAS</t>
  </si>
  <si>
    <t>VALOR A SOLICITAR EN VIGENCIAS FUTURAS</t>
  </si>
  <si>
    <t>ESTADO DE SOLICITUD DE VIGENCIAS FUTURAS</t>
  </si>
  <si>
    <t>UNIDAD DE CONTRATACIÓN</t>
  </si>
  <si>
    <t>NOMBRES Y APELLIDOS DEL RESPONSABLE DEL PROCESO CONTRACTUAL</t>
  </si>
  <si>
    <t>TELÉFONO DEL RESPONSABLE</t>
  </si>
  <si>
    <t>CORREO ELECTRÓNICO DEL RESPONSABLE</t>
  </si>
  <si>
    <t>POSIBLE CONTRATISTA</t>
  </si>
  <si>
    <t>ANOTACIONES</t>
  </si>
  <si>
    <t>PLANEACIÓN</t>
  </si>
  <si>
    <t>FINANCIERA</t>
  </si>
  <si>
    <t xml:space="preserve"> CONTRATOS</t>
  </si>
  <si>
    <t>OBSERVACIONES EP</t>
  </si>
  <si>
    <t>CDP</t>
  </si>
  <si>
    <t>VALOR</t>
  </si>
  <si>
    <t>FECHA</t>
  </si>
  <si>
    <t>DIFERENCIA</t>
  </si>
  <si>
    <t>RP</t>
  </si>
  <si>
    <t>ACADÉMICA</t>
  </si>
  <si>
    <t>FACULTAD SEMINARIO ANDRÉS BELLO</t>
  </si>
  <si>
    <t>FORMACIÓN</t>
  </si>
  <si>
    <t>MAESTRÍA EN ESCRITURA CREATIVA</t>
  </si>
  <si>
    <t>JURADOS DE TRABAJO DE GRADO. 27 TRABAJOS DE GRADO, 2 JURADOS POR TRABAJO PARA UN TOTAL DE 54 JURADOS. VALOR: $454.263 POR JURADO.</t>
  </si>
  <si>
    <t>CONVENIO</t>
  </si>
  <si>
    <t>C-3302-1603-2-0-3302067-2</t>
  </si>
  <si>
    <t>EJECUTAR PROGRAMAS DE POSGRADO CON REGISTRO CALIFICADO VIGENTE</t>
  </si>
  <si>
    <t>NO</t>
  </si>
  <si>
    <t>N.A</t>
  </si>
  <si>
    <t>GESTIÓN CONTRACTUAL</t>
  </si>
  <si>
    <t>MARÍA OFELIA ROS MATTURRO</t>
  </si>
  <si>
    <t>ofelia.ros@caroycuervo.gov.co</t>
  </si>
  <si>
    <t>DIRECTORES DE TRABAJO DE GRADO. COMO SON 2 TRABAJOS DE GRADO A DIRIGIR, NECESITAMOS 7 DIRECTORES  PARA EQUILIBRAR LA CARGA LABORAL. VALOR: $1.316.705 POR DIRECTOR</t>
  </si>
  <si>
    <t>MAESTRÍA EN ESTUDIOS EDITORIALES</t>
  </si>
  <si>
    <t>NUEVO ÍTEM: PAGO PARA DIEZ (10) JURADOS DE TRABAJO DE GRADO EXTERNOS</t>
  </si>
  <si>
    <t>MAESTRÍA EN LINGÜÍSTICA</t>
  </si>
  <si>
    <t xml:space="preserve">DOCENTE HORA CÁTEDRA CON DOCTORADO PARA UNA ELECTIVA I QUE AL MISMO TIEMPO SE ABRE COMO UN CURSO DE EXTENSIÓN EN EL MES DE FEBRERO </t>
  </si>
  <si>
    <t>DOCENTE HORA CÁTEDRA CON DOCTORADO PARA UNA ELECTIVA I QUE AL MISMO TIEMPO SE ABRE COMO UN CURSO DE EXTENSIÓN EN EL MES DE AGOSTO</t>
  </si>
  <si>
    <t>DIFUSIÓN POR REDES Y PAUTAS PARA LAS JORNADAS DE INVESTIGACIÓN JOSÉ JOAQUÍN MONTES</t>
  </si>
  <si>
    <t>C-3302-1603-2-0-3302070-2</t>
  </si>
  <si>
    <t>REALIZAR ACTIVIDADES DE CONSOLIDACIÓN ACADÉMICA</t>
  </si>
  <si>
    <t>1 DIRECTOR DE TRABAJO EXTERNO</t>
  </si>
  <si>
    <t xml:space="preserve">8 JURADOS DE TRABAJO DE GRADO EXTERNOS PARA EVALUAR 8 TESIS </t>
  </si>
  <si>
    <t>TALLER DE ESCRITURA ACADÉMICA. ACTIVIDAD DE APROPIACIÓN SOCIAL DEL CONOCIMIENTO DE LA MAESTRÍA EN LINGÜÍSTICA DIRIGIDA A ESTUDIANTES UNIVERSITARIOS DEL             PACÍFICO DE COLOMBIA - ACTIVIDAD DEL CONVENIO UTCH-ICC</t>
  </si>
  <si>
    <t>CONTRATACIÓN DIRECTA</t>
  </si>
  <si>
    <t>MAESTRÍA EN LITERATURA Y CULTURA</t>
  </si>
  <si>
    <t>PAGO A JURADOS DE TRABAJOS DE GRADO-8</t>
  </si>
  <si>
    <t>MAESTRÍA EN ENSEÑANZA DE ESPAÑOL COMO LENGUA EXTRANJERA Y SEGUNDA LENGUA</t>
  </si>
  <si>
    <t>DOCENTE HORA CÁTEDRA MAESTRÍA ELE/L2  32 HORAS</t>
  </si>
  <si>
    <t>HONORARIOS INVITADO INTERNACIONAL -DICTADO DE SEMINARIO DE 15 HR EN LA MESTRÍA HONORARIO</t>
  </si>
  <si>
    <t>FACULTAD</t>
  </si>
  <si>
    <t>DIPLOMAS</t>
  </si>
  <si>
    <t>BIENESTAR</t>
  </si>
  <si>
    <t>ACTIVIDADES EN EL MARCO DEL PROGRAMA DE BIENESTAR UNIVERSITARIO DE LA FSAB (ATENCIÓN Y PREVENCIÓN EN SALUD, DEPORTES, RECREACIÓN Y CULTURA Y PROMOCIÓN SOCIOECONÓMICA)</t>
  </si>
  <si>
    <t>LECCIÓN INAUGURAL (2 SEMESTRES)</t>
  </si>
  <si>
    <t>INVESTIGACIÓN</t>
  </si>
  <si>
    <t>DOCUMENTOS PARA LA HISTORIA LINGÜÍSTICA DE COLOMBIA SIGLOS XVI- XIX SEGUNDA FASE (2021-2022) VIGENCIA 2022</t>
  </si>
  <si>
    <t>CONTRATO DISEÑADOR GRÁFICO</t>
  </si>
  <si>
    <t>C-3302-1603-2-0-3302001-2</t>
  </si>
  <si>
    <t>DISEÑAR, APROBAR Y EJECUTAR LOS PROYECTOS DE INVESTIGACIÓN</t>
  </si>
  <si>
    <t>JULIO BERNAL</t>
  </si>
  <si>
    <t xml:space="preserve">julio.bernal@caroycuervo.gov.co </t>
  </si>
  <si>
    <t>DIANA ZAMBRANO</t>
  </si>
  <si>
    <t>CRISTIAN VELANDIA</t>
  </si>
  <si>
    <t>DANIELA LEÓN</t>
  </si>
  <si>
    <t>LINA ROCHA</t>
  </si>
  <si>
    <t>GRUPO DE BIBLIOTECA</t>
  </si>
  <si>
    <t>DESARROLLO DE COLECCIONES</t>
  </si>
  <si>
    <t>SUSCRIPCIÓN BASES DE DATOS - RENOVACIÓN BASE DE DATOS JSTOR</t>
  </si>
  <si>
    <t>C-3301-1603-2-0-3301085-2</t>
  </si>
  <si>
    <t>LUZ CLEMENCIA MEJÍA MUÑOZ</t>
  </si>
  <si>
    <t xml:space="preserve">biblioteca@caroycuervo.gov.co </t>
  </si>
  <si>
    <t>Esta renovación no se realizó en el 2021. Se renueva en el 2022. No es posible eliminar</t>
  </si>
  <si>
    <t>DIANA RAMÍREZ</t>
  </si>
  <si>
    <t>MIGUEL OCHOA</t>
  </si>
  <si>
    <t>SISTEMATIZACIÓN DE LA BIBLIOTECA</t>
  </si>
  <si>
    <t>MANTENIMIENTO Y SERVICIO DE HOSTING DEL SISTEMA DE INFORMACIÓN BIBLIOGRÁFICO KOHA MEDIENTE EL CUAL SE ADMINISTRAN LAS COLECCIONES Y SERVICIO BIBIOTECARIOS EN LAS DOS SEDES.</t>
  </si>
  <si>
    <r>
      <rPr>
        <sz val="12"/>
        <color rgb="FFFF0000"/>
        <rFont val="Calibri (Cuerpo)"/>
      </rPr>
      <t>86141501</t>
    </r>
    <r>
      <rPr>
        <sz val="12"/>
        <color theme="1"/>
        <rFont val="Calibri"/>
        <family val="2"/>
        <scheme val="minor"/>
      </rPr>
      <t>; 90121603</t>
    </r>
  </si>
  <si>
    <t>EQUIPO DE EDUCACIÓN CONTINUA</t>
  </si>
  <si>
    <t>EDUCACIÓN CONTINUA</t>
  </si>
  <si>
    <t xml:space="preserve">CONTRATACIÓN DE SERVICIOS PROFESIONALES PARA APOYAR LA FORMACIÓN VIRTUAL DEL ICC </t>
  </si>
  <si>
    <t>C-3302-1603-2-0-3302066-2</t>
  </si>
  <si>
    <t>JUAN MANUEL ESPINOSA RESTREPO</t>
  </si>
  <si>
    <t>juan.espinosa@caroycuervo.gov.co</t>
  </si>
  <si>
    <t>MARTA OSORNO</t>
  </si>
  <si>
    <t>GERMÁN BOLAÑOS</t>
  </si>
  <si>
    <t>CINDY FLORIDO</t>
  </si>
  <si>
    <t>DOCENTE CURSO DE ESPAÑOL PARA EXTRANJEROS (420 HORAS POR 5 CURSOS) (MELE)</t>
  </si>
  <si>
    <t>LILIANA LABRADOR</t>
  </si>
  <si>
    <t>DOCENTE DE DIPLOMADO ELE REMOTO+COORDINADORA DE EXTENSIÓN (DIPLOMADO ELE VIRTUAL Y DIPLOMADO ELE REMOTO) (MELE)</t>
  </si>
  <si>
    <t>DIANA UMAÑA</t>
  </si>
  <si>
    <t>COORDINACIÓN EDUCACIÓN CONTINUA TOTAL: ELE PRESENCIAL Y VIRTUAL, FSAB SUBDIRECCIÓN ACADÉMICA, CURSOS EXTENSIÓN</t>
  </si>
  <si>
    <t>PROFESOR LATÍN Y GRIEGO 5 CURSOS AL AÑO</t>
  </si>
  <si>
    <t>SANTIAGO MELO</t>
  </si>
  <si>
    <t>PAGO 1ER TUTOR DIPLOMADO VIRTUAL ELE-2022-1: 72 HRS POR TUTOR  (MELE)</t>
  </si>
  <si>
    <t>TUTOR</t>
  </si>
  <si>
    <t>PAGO 2DO TUTOR DIPLOMADO VIRTUAL ELE-2022-1: 72 HRS POR TUTOR (MELE)</t>
  </si>
  <si>
    <t>PAGO 3ER TUTOR DIPLOMADO VIRTUAL ELE-2022-1: 72 HRS POR TUTOR (MELE)</t>
  </si>
  <si>
    <t>PAGO 4TO TUTOR DIPLOMADO VIRTUAL ELE-2022-1: 72 HRS POR TUTOR (MELE)</t>
  </si>
  <si>
    <t>PAGO 5TO TUTOR DIPLOMADO VIRTUAL ELE-2022-1: 72 HRS POR TUTOR (MELE)</t>
  </si>
  <si>
    <t>PAGO 6TO TUTOR DIPLOMADO VIRTUAL ELE-2022-1: 72 HRS POR TUTOR (MELE)</t>
  </si>
  <si>
    <t>PAGO 7MO TUTOR DIPLOMADO VIRTUAL ELE-2022-1: 72 HRS POR TUTOR (MELE)</t>
  </si>
  <si>
    <t>PAGO 8VO TUTOR DIPLOMADO VIRTUAL ELE-2022-1: 72 HRS POR TUTOR (MELE)</t>
  </si>
  <si>
    <t>PAGO 9NO TUTOR DIPLOMADO VIRTUAL ELE-2022-1: 72 HRS POR TUTOR (MELE)</t>
  </si>
  <si>
    <t>PAGO 10MO TUTOR DIPLOMADO VIRTUAL ELE-2022-1: 72 HRS POR TUTOR (MELE)</t>
  </si>
  <si>
    <t>PROFESOR DIPLOMADO ELE REMOTO 60 HRS (POR 30 HRS EN CADA SEMESTRE) (MELE)</t>
  </si>
  <si>
    <t>YEHICY ORDUZ</t>
  </si>
  <si>
    <t>RUTH RUBIO</t>
  </si>
  <si>
    <t>PAGO 1ER TUTOR DIPLOMADO VIRTUAL ESCRITURA PARA SORDOS ELE-2022-1 - 30 HRS (MELE)</t>
  </si>
  <si>
    <t>PAGO 2DO TUTOR DIPLOMADO VIRTUAL ESCRITURA PARA SORDOS ELE-2022-1 - 36 HRS (MELE)</t>
  </si>
  <si>
    <t>55101500; 55101524</t>
  </si>
  <si>
    <t>ADQUISICIÓN DE LIBROS</t>
  </si>
  <si>
    <t>SELECCIÓN ABREVIADA MENOR CUANTÍA</t>
  </si>
  <si>
    <t>55101500; 55101525</t>
  </si>
  <si>
    <t>SUSCRIPCIÓN REVISTAS - RENOVACIÓN POR 1 AÑO DE LOS  TÍTULOS DE REVISTAS  ACADÉMICAS EN LAS ARES DE LINGÜÍSTICA,  LITERATURA Y ESTUDIOS EDITORIALES</t>
  </si>
  <si>
    <t>MINIMA CUANTÍA</t>
  </si>
  <si>
    <t>SUSCRIPCIÓN BASES DE DATOS - RENOVACIÓN BASE DE DATOS PROQUEST MÓDULOS DE LINGUSTICA Y LITERATURA</t>
  </si>
  <si>
    <t>RENOVACIÓN BASE DE DATOS - DIALNET PLUS</t>
  </si>
  <si>
    <t>SUSCRIPCIÓN BASES DE DATOS - RENOVACIÓN BASE DE DATOS MLA CON TEXTO COMPLETO</t>
  </si>
  <si>
    <t>PROCESAMIENTO TÉCNICO DEL MATERIAL BIBLIOGRÁFICO</t>
  </si>
  <si>
    <t>RENOVACIÓN DE LA HERRAMIENTA BIBLIOTECARIA ARMARC Y TOOL KIT RDA PARA LA ASIGNACIÓN DE LOS DESCRIPTORES  Y CATALOGACIÓN DEL  MATERIAL BIBLIOGRAFICO RECIBIDO EN LA BIBLIOTECA.</t>
  </si>
  <si>
    <t>43233203; 43232305; 43232309</t>
  </si>
  <si>
    <t>RENOVACIÓN DE LA LICENCIA DEL PROGRAMA EZ-PROXY PARA LA CONSULTA REMOTA DE LOS RECURSOS ELECTRÓNICOS  Y  LOOKPROXY PARA GENERACIÓN DE LAS ESTADÍSTICA DE USO DE LOS RECURSOS ELECTRÓNICOS</t>
  </si>
  <si>
    <t>EQUIPO DE COMUNICACIONES Y PRENSA</t>
  </si>
  <si>
    <t>INFORMACIÓN Y COMUNICACIÓN</t>
  </si>
  <si>
    <t xml:space="preserve">COMUNICACIONES Y PRENSA </t>
  </si>
  <si>
    <t xml:space="preserve">IMPRESIÓN DE MATERIAL DE DIVULGACIÓN PARA APOYO A LOS PROGRAMAS Y PROYECTOS DE LA SUBDIRECCIÓN ACADÉMICA </t>
  </si>
  <si>
    <t>C-3302-1603-2-0-3302068-2</t>
  </si>
  <si>
    <t>DISEÑAR, MONTAR, EDITAR, GRABAR Y PRODUCIR LA PROGRAMACIÓN</t>
  </si>
  <si>
    <t>SERVICIO DE CORREOS PARA EL MANEJO DE LAS BASES DE DATOS DE BOLETÍN Y EVENTOS DEL ICC</t>
  </si>
  <si>
    <t>GASTOS DE VIAJE PARTICIPACIÓN HAY FESTVAL 2022</t>
  </si>
  <si>
    <t>GRUPO DE PROCESOS EDITORIALES</t>
  </si>
  <si>
    <t>APROPIACIÓN SOCIAL DEL CONOCIMIENTO</t>
  </si>
  <si>
    <t>SELLO EDITORIAL E IMPRENTA PATRIÓTICA</t>
  </si>
  <si>
    <t>MANTENIMIENTO CORRECTIVO DE IMPRESORA SAKURAI DE DOS TORRES, 1/2 PLIEGO</t>
  </si>
  <si>
    <t>CESAR BUITRAGO</t>
  </si>
  <si>
    <t xml:space="preserve">cesar.buitrago@caroycuervo.gov.co </t>
  </si>
  <si>
    <t>EDITORIAL</t>
  </si>
  <si>
    <t>ARRENDAMIENTO DE ESPACIO PARA LA FERIA INTERNACIONAL DEL LIBRO DE BOGOTÁ</t>
  </si>
  <si>
    <t>MARCELA GUALTEROS</t>
  </si>
  <si>
    <t>PAGO EVALUACIÓN DE MANUSCRITOS</t>
  </si>
  <si>
    <t>82111800; 82121502</t>
  </si>
  <si>
    <t>CONTRATO AUXILIAR LINOTIPISTA JUNIOR PARA PROYECTOS EDITORIALES</t>
  </si>
  <si>
    <t>EQUIPO DE GESTIÓN DE MUSEOS</t>
  </si>
  <si>
    <t>GESTIÓN DE MUSEOS</t>
  </si>
  <si>
    <t>CONSERVACIÓN PREVENTIVA ESCULTURAS</t>
  </si>
  <si>
    <t>C-3399-1603-4-0-3399016-2</t>
  </si>
  <si>
    <t>Contratación directa servicios profesionales de una restauradora de bienes muebles, que esperamos se pueda alimentar con los 70 millones adicionales del MinCultura y desarrollar el proyecto general de conservación preventiva de las esculturas en Yerbabuenan (fase I). De no ser posible, este dinero se concentra en los traslados de las dos obras solicitadas en calidad de comodato al IDPC y al Museo de Bogotá. Si llega la plata de Mincultura pasaríamos de 1 a 6 meses en la ejecución.</t>
  </si>
  <si>
    <t xml:space="preserve">HERRAMIENTAS DIGITALES </t>
  </si>
  <si>
    <t>C-3302-1603-2-0-3302004-2</t>
  </si>
  <si>
    <t>DISEÑAR, PREPARAR Y REALIZAR EXPOSICIONES EN SALAS MUSEALES</t>
  </si>
  <si>
    <t>IMPRESOS, MATERIAL PEDAGÓGICO, MONTAJES, FOTOGRAFÍAS, ENTRE OTROS</t>
  </si>
  <si>
    <t xml:space="preserve">JUAN MANUEL ESPINOSA RESTREPO </t>
  </si>
  <si>
    <t>TRANSPORTES ESPECIALES OBRAS DE GRAN FORMATO PARA LA EXPOSICION DE VUELTA A CASA</t>
  </si>
  <si>
    <t xml:space="preserve">PRODUCCION MUSEOGRAFICA 1 EXPOSICIÓN </t>
  </si>
  <si>
    <t>Contratación por el ICC en Mínima cuantía para la producción de una exposición de mediana duración para la producción de una exposición temporal de mediana duración que muestre la relación entre las colecciones del ICC y los comodatos del Fondo Cultural Cafetero, el Ministerio de Cultura y donacionaciones recientes en el marco de los 80 años del ICC.</t>
  </si>
  <si>
    <t>93141708; 82141505</t>
  </si>
  <si>
    <t>SERVICIOS PROFESIONALES DE DISEÑO GRÁFICO MUSEOGRÁFICO</t>
  </si>
  <si>
    <t>Se reduce contrato PS a 10,5 meses</t>
  </si>
  <si>
    <t>SUBDIRECCIÓN ACADÉMICA</t>
  </si>
  <si>
    <t>CELEBRACIÓN DÍA DE LAS LENGUAS NATIVAS HONORARIOS</t>
  </si>
  <si>
    <t>CONTRATACIÓN REGIMEN ESPECIAL</t>
  </si>
  <si>
    <t>SEMINARIO PERMANENTE LENGUAS NATIVAS HONORARIOS</t>
  </si>
  <si>
    <t xml:space="preserve">CÁTEDRA DE HERENCIA AFRICANA - HONORARIOS </t>
  </si>
  <si>
    <t>DIRECCIONAMIENTO ESTRATÉGICO</t>
  </si>
  <si>
    <t>CONTRATACIÓN PARA LA PRESTACIÓN DE SERVICIOS PROFESIONALES PARA APOYAR LA SUPERVISIÓN DE LAS ACTIVIDADES ACADÉMICAS, ADMINISTRATIVAS Y FINANCIERAS DE LA SUBDIRECCIÓN ACADÉMICA DEL INSTITUTO CARO Y CUERVO</t>
  </si>
  <si>
    <t>C-3399-1603-4-0-3399056-2</t>
  </si>
  <si>
    <t xml:space="preserve"> DISEÑAR HERRAMIENTAS PARA ORIENTAR LA PLANEACIÓN INSTITUCIONAL </t>
  </si>
  <si>
    <t>BECAS ESTÍMULOS 2021</t>
  </si>
  <si>
    <t>BECAS ICC EN PROGRAMA NACIONAL DE ESTÍMULOS 2022</t>
  </si>
  <si>
    <t>C-3302-1603-2-0-3302001-3</t>
  </si>
  <si>
    <t>SI</t>
  </si>
  <si>
    <t>SOLICITADAS</t>
  </si>
  <si>
    <t>SERVICIOS PROFESIONALES PARA LIDERAR PROYECTO DE INVESTIGACIÓN “EL GÉNERO DISCURSIVO DE CONSEJO EN LAS LENGUAS MUINANE Y CABIYARÍ (AMAZONAS COLOMBIANO) Y DICTAR UN CURSO SOBRE LENGUAS NATIVAS EN LA MAESTRÍA EN LINGÜÍSTICA</t>
  </si>
  <si>
    <t>CONTRATACIÓN DE SERVICIOS PROFESIONALES DE INVESTIGACIÓN PARA APOYAR ACTIVIDADES DE LA DIRECCIÓN GENERAL DEL ICC</t>
  </si>
  <si>
    <t>CARMEN MILLÁN</t>
  </si>
  <si>
    <t>GESTIÓN DE BIBLIOTECAS</t>
  </si>
  <si>
    <t>GBB - RENOVACIÓN BASE DE DATOS PROQUEST DISSERTATION &amp; THESIS</t>
  </si>
  <si>
    <t>GASTOS DE VIAJE (CONTRATISTAS) PARA DESPLAZARSE A IMPARTIR CURSOS DE DOCUMENTACIÓN LINGÜÍSTICA Y CULTURAL A COMUNIDADES INDÍGENAS EN EL MARCO DE SENTENCIAS DE JUZGADOS Y/O PLANES INTEGRALES DE REPARACIÓN - PLAN DECENAL DE LENGUAS</t>
  </si>
  <si>
    <t>REVISIÓN PRUEBAS CANCILLERÍA 2022</t>
  </si>
  <si>
    <t>CONTRATACIÓN PROFESIONALES EN LEXICOGRAFÍA PARA CONVENIO CON LA RAE - DHLE (DICCIONARIO HISTÓRICO DE LA LENGUA ESPAÑOLA)</t>
  </si>
  <si>
    <t>OBSERVATORIO EDITORIAL COLOMBIANO</t>
  </si>
  <si>
    <t>CONTRATACIÓN PARA PRESTAR LOS SERVICIOS PROFESIONALES COMO INVESTIGADOR DEL OBSERVATORIO EDITORIAL COLOMBIANO</t>
  </si>
  <si>
    <t>86101700; 86141501</t>
  </si>
  <si>
    <t xml:space="preserve">COORDINADOR ACADÉMICO Y COORDINADOR DE EXTENSIÓN. TUTORÍAS INDIVIDUALES (2022-1). </t>
  </si>
  <si>
    <t xml:space="preserve">COORDINADORA DE EXTENSIÓN. TUTORÍAS INDIVIDUALES (2022-1). PROFESORA DE DIPLOMADO LATINOAMERICANO (2022-2, CURSO DE 36 HORAS) </t>
  </si>
  <si>
    <t xml:space="preserve">86101710; 80111621 </t>
  </si>
  <si>
    <t>DIRECTORA DE PROYECTO DE INVESTIGACIÓN. TUTORÍAS INDIVIDUALES (2022-1). PROFESORA DEL SEMINARIO-TALLER DE PROBLEMAS NARRATIVOS (2022-2).</t>
  </si>
  <si>
    <t>FERNANDA TRIAS</t>
  </si>
  <si>
    <t>86101710; 80111621</t>
  </si>
  <si>
    <t>DIRECTOR DE PROYECTO DE INVESTIGACIÓN. TUTORÍAS INDIVIDUALES (2022-1). PROFESOR DE ELECTIVA (2022-2).</t>
  </si>
  <si>
    <t>LÍDER DE LÍNEA DE INVESTIGACIÓN. TUTORÍAS INDIVIDUALES (2022-1). PROFESOR DEL CURSO INTERIORES DE LA ESCRITURA (2022-2).</t>
  </si>
  <si>
    <t>CONTRATACIÓN: DOCENTE CURSO TRONCAL: ESCRITURA ARGUMENTATIVA (2022-2)</t>
  </si>
  <si>
    <t>CONTRATACIÓN DOCENTE- INVESTIGADOR: DOCENTE SEMINARIO IV (2022-1) Y ELECTIVA/EXTENSIÓN (2022-2) - LÍDER PROYECTO DE INVESTIGACIÓN - ASESORA DE TESIS</t>
  </si>
  <si>
    <t>CONTRATACIÓN DOCENTE-INVESTIGADOR: DOCENTE ELECTIVA/EXTENSIÓN (2022-1) Y DISEÑO Y TIPOGRAFÍA I (2022-2) - LÍDER PROYECTO DE INVESTIGACIÓN - ASESOR DE TESIS</t>
  </si>
  <si>
    <t>CONTRATACIÓN DOCENTE-INVESTIGADOR: DOCENTE ELECTIVA/EXTENSIÓN (2022-1) Y SEMINARIO I (2022-2) - LÍDER PROYECTO DE INVESTIGACIÓN - ASESORA DE TESIS - DIRECTORA LÍNEA DE INVESTIGACIÓN - COORDINADORA DIPLOMADO</t>
  </si>
  <si>
    <t xml:space="preserve">CONTRATACIÓN COORDINADOR DIPLOMADO EN EDICIÓN ACADÉMICA E INSTITUCIONAL - MODALIDAD PRESENCIA - REMOTA ASINCRÓNICA </t>
  </si>
  <si>
    <t xml:space="preserve">CONTRATACIÓN COORDINADOR MAESTRÍA-INVESTIGADOR: COORDINACIÓN DE LA MEE - ACTUALIZACIÓN DOC. MAESTRO - LÍDER DE PROYECTO INVESTIGACIÓN - ASESOR DE TESIS - CURSO DE EXTENSIÓN (2022-2) </t>
  </si>
  <si>
    <t>CONTRATACIÓN DOCENTE DOS CURSOS ELECTIVA-EXTENSIÓN: DOCENTE CURSOS: CORRECCIÓN DE ESTILO BÁSICA (2022-1) Y CORRECCIÓN DE ESTILO Y CUIDADO DE TEXTOS LITERARIOS (2022-2) Y UN CURSO INTERSEMESTRAL</t>
  </si>
  <si>
    <t>DIEZ LICENCIAS ESTUDIOS EDITORIALES IN DESIGN ADOBE, 10 LICENCIAS DE AGOSTO A NOVIEMBRE</t>
  </si>
  <si>
    <t>86101700; 86141501; 80111621</t>
  </si>
  <si>
    <t>COORDINADOR MAESTRÍA EN LINGÜÍSTICA + DOCENTE DE UN CURSO AL SEMESTRE + COORDINADOR DE LÍNEA DE INVESTIGACIÓN EN ESTUDIOS FÓNICOS +, INVESTIGADOR CON PROYECTO APROBADO + CINCO ASESORÍAS POR SEMESTRE A CADA ALUMNO + TUTOR DE MÍNIMO DOS TRABAJOS DE GRADO</t>
  </si>
  <si>
    <t>DOCENTE INVESTIGADOR CON DOCTORADO + HASTA DOS CURSOS POR SEMESTRE + INVESTIGADOR CON PROYECTO APROBADO + TUTOR DE MÍNIMO DOS TRABAJOS DE GRADO + CINCO ASESORÍAS POR SEMESTRE A CADA ALUMNO + EVALUACIÓN DE TRABAJOS DE GRADO + ANTEPROYECTOS CUANDO SE REQUIERA</t>
  </si>
  <si>
    <t>SERGIO JIMENEZ</t>
  </si>
  <si>
    <t>CONTRATACIÓN DE UNA DOCENTE INVESTIGADORA CON DOCTORADO QUE COORDINARÁ LA CÁTEDRA DE HERENCIA AFRICANA, DICTARÁ EL CURSO "TEORÍAS, POLÍTICAS Y CULTURA EN LATINOAMÉRICA" EN EL PRIMER SEMESTRE 2022-1 Y "SEMINARIO DE TRABAJO DE GRADO" EN EL SEGUNDO SEMESTRE, 2022-2 Y SERÁ DIRECTORA DEL PROYECTO DE INVESTIGACIÓN POÉTICAS TRANSFRONTERIZAS (AFRO E INDÍGENAS).  NOMBRE: GRACIELA MAGLIA.</t>
  </si>
  <si>
    <t>CONTRATACIÓN DE UN DOCENTE INVESTIGADOR QUE DICTARÁ DOS CURSOS DE LA MAESTRÍA: EN EL SEMESTRE 2022-1  DICTARÁ "LITERATURAS, CONTRASTES,TENSIONES" Y EN EL SEMESTRE 2022-2 DICTARÁ "SEMINARIO DE TRABAJO DE GRADO"  SERÁ DIRECTOR DE LÍNEA DE INVESTIGACIÓN, DIRECTOR DE PROYECTO DE INVESTIGACIÓN "CARTOGRAFÍAS DEL CUENTO EN COLOMBIA, FASE 3" Y DIRECTOR DE AL MENOS 4 PROYECTOS DE TRABAJO DE GRADO. NOMBRE: JULIO ALBERTO BEJARANO HERNÁNDEZ</t>
  </si>
  <si>
    <t>CONTRATACIÓN DE UN DOCENTE INVESTIGADOR QUE DICTARÁ DOS CURSOS DE LA MAESTRÍA: EN EL  SEMESTRE 2022-1  DICTARÁ "TALLER DE METODOLOGÍA DE INVESTIGACIÓN B" Y EN EL SEMESTRE 2022-2 DICTARÁ "SEMINARIO DE TRABAJO DE GRADO", SERÁ DIRECTOR DE PROYECTO DE INVESTIGACIÓN "POESÍA EN MOVIMIENTO", FASE 3 Y DIRECTOR DE 4 TRABAJOS DE GRADO. NOMBRE: GUILLERMO MOLINA MORALES.</t>
  </si>
  <si>
    <t>CONTRATACIÓN DE UN DOCENTE INVESTIGADOR QUE DICTARÁ DOS CURSOS DE LA MAESTRÍA: EN EL SEMESTRE 2022-1 DICTARÁ "ELECTIVA IV" Y EN EL SEGUNDO SEMESTRE DICTARÁ "SEMINARIO DE TRABAJO DE GRADO". SERÁ DIRECTORA DEL PROYECTO DE INVESTIGACIÓN "TEXTUALIDADES DESDE TRES PUNTOS CARDINALES: AGENCIAS Y REPRESENTACIONES DE PERTENENCIA COLECTIVA". NOMBRE: ADRIANA CAMPOS UMBARILA.</t>
  </si>
  <si>
    <t>ADRIANA CAMPOS</t>
  </si>
  <si>
    <t>COORDINADOR MAESTRÍA ELE/L2 + COORDINADOR EDITORIAL SERIE ELE/2+COORDINADOR DIPLOMADO ICC-INSOR+COORDINADOR CURSO DE VERANO+DOCENTE CURSO DE VERANO</t>
  </si>
  <si>
    <t>VIVIANA NIETO</t>
  </si>
  <si>
    <t>DOCENTE-INVESTIGADOR MAESTRÍA ELE/L2+LÍDER DE LÍNEA+DIRECTOR DE PROYECTO+ENCARGADO DE ESCRIBIR DOCUMENTO MAESTRO DOCTORADO FSAB+APOYO A VISITA DE PARES MAESTRÍA ELE/L2 REGISTRO ÚNICO</t>
  </si>
  <si>
    <t>SANDRA DÍAZ</t>
  </si>
  <si>
    <t>DOCENTE-INVESTIGADOR MAESTRÍA ELE/L2+DIRECTOR DE PROYECTO+CREACIÓN DE CONTENIDOS DE 2 CURSOS DE MAESTRÍA ELE/2 VIRTUAL</t>
  </si>
  <si>
    <t>FERNEY CRUZ</t>
  </si>
  <si>
    <t>DOCENTE-INVESTIGADOR MAESTRÍA ELE/L2+DIRECTOR DE PROYECTO+TUTORA DIPLOMADO ELE VIRTUAL (144 HORAS)+DOCENTE CURSO DE VERANO (10 HORAS)</t>
  </si>
  <si>
    <t>DOCENTE-INVESTIGADOR MAESTRÍA ELE/L2+DIRECTOR DE PROYECTO+TUTOR DIPLOMADO ICC-INSOR (50 HORAS)+CREACIÓN DE CONTENIDOS DE 1 CURSO DE MAESTRÍA ELE/2 VIRTUAL</t>
  </si>
  <si>
    <t>ALEX GIOVANY BARRETO</t>
  </si>
  <si>
    <t>DOCENTE-INVESTIGADOR MAESTRÍA ELE/L2+ COORDINADOR CURSOS DE ESPAÑOL PARA EXTRANJEROS+CURSO DE FORMACIÓN PRÁCTICA DE PROFESORES DE ELE (64 HORAS) +CURSO DOCENTE CURSO DE VERANO (10 HORAS)</t>
  </si>
  <si>
    <t>DOCENTE-INVESTIGADOR MAESTRIA ELE/L2+DIRECTOR DE PROYECTO+DOCENTE DIPLOMADO ELE REMOTO (30 HORAS POR 1 MÓDULO)+CREACIÓN DE CONTENIDOS DE 2 CURSOS DE MAESTRÍA ELE/2 VIRTUAL</t>
  </si>
  <si>
    <t>DOCENTE-INVESTIGADOR MAESTRIA ELE/L2+DIRECTOR DE PROYECTO+CREACIÓN DE CONTENIDOS DE 1 CURSO DE MAESTRÍA ELE/2 VIRTUAL</t>
  </si>
  <si>
    <t>CONTRATACIÓN PARA PRESTAR LOS SERVICIOS PROFESIONALES PARA EL APOYO A LA ADMINISTRACIÓN DE LA PLATAFORMA DE GESTIÓN ACADÉMICA DE LA FACULTAD SEMINARIO ANDRÉS BELLO</t>
  </si>
  <si>
    <t>C-3399-1603-4-0-3399061-2</t>
  </si>
  <si>
    <t xml:space="preserve"> ADAPTAR EL MODELO INTEGRADO DE PLANEACIÓN Y GESTIÓN AL INSTITUTO </t>
  </si>
  <si>
    <t>CONTRATACIÓN DE UN PROFESIONAL PARA EL ASEGURAMIENTO DE LA CALIDAD DE LOS PROGRAMAS DE POSGRADO DE LA FACULTAD SEMINARIO ANDRÉS BELLO DEL INSTITUTO CARO Y CUERVO, ANTE EL MINISTERIO DE EDUCACIÓN NACIONAL</t>
  </si>
  <si>
    <t xml:space="preserve">COORDINADORA E-LEARNING DE LA MAESTRÍA EN ENSEÑANZA DE ESPAÑOL COMO LENGUA EXTRANJERA Y SEGUNDA LENGUA </t>
  </si>
  <si>
    <t>MOVILIDAD DECANATURA LASA 2022</t>
  </si>
  <si>
    <t>93141506; 86141501</t>
  </si>
  <si>
    <t>CONTRATACIÓN PARA LA PRESTACIÓN DE SERVICIOS PROFESIONALES PARA EL APOYO A LA COORDINACIÓN DE LOS PROGRAMAS DE EGRESADOS Y BIENESTAR UNIVERSITARIO, DE LA FACULTAD SEMINARIO ANDRÉS BELLO DEL INSTITUTO CARO Y CUERVO</t>
  </si>
  <si>
    <t>SERVICIO PSICOLÓGICO FACULTAD + 2 TALLERES BIENESTAR EMOCIONAL (DESARROLLO HUMANO)</t>
  </si>
  <si>
    <t>SEGURO ESTUDIANTIL (ATENCIÓN Y PREVENCIÓN EN SALUD)</t>
  </si>
  <si>
    <t>DIRECCIÓN GENERAL</t>
  </si>
  <si>
    <t>GRUPO DE PLANEACIÓN</t>
  </si>
  <si>
    <t>OFICIAL DE SEGURIDAD DE LA INFORMACIÓN</t>
  </si>
  <si>
    <t>CONTRATACIÓN PARA LA PRESTACIÓN DE SERVICIOS PROFESIONALES EN EL GRUPO DE PLANEACIÓN  PARA LA ORIENTACIÓN E IMPLEMENTACIÓN DEL MODELO DE SEGURIDAD Y PRIVACIDAD DE LA INFORMACIÓN (MSPI) ALINEADO CON EL MARCO DE REFERENCIA DE ARQUITECTURA TI Y EL MODELO INTEGRADO DE PLANEACIÓN Y GESTIÓN (MIPG)</t>
  </si>
  <si>
    <t xml:space="preserve">CRISTIAN ARMANDO VELANDIA </t>
  </si>
  <si>
    <t>cristian.velandia@caroycuervo.gov.co</t>
  </si>
  <si>
    <t>METODOLOGIAS DE PLANEACIÓN INSTITUCIONAL</t>
  </si>
  <si>
    <t>CONTRATACIÓN PARA LA PRESTACIÓN DE SERVICIOS PROFESIONALES EN EL GRUPO DE PLANEACIÓN  PARA LA ORIENTACIÓN E IMPLEMENTACIÓN DE  LOS INDICADORES DE GESTIÓN Y EN EL GRUPO DE LAS TIC PARA EL DESARROLLO DE LA POLÍTICA DE GOBIERNO DIGITAL</t>
  </si>
  <si>
    <t>CRISTIAN ARMANDO VELANDIA - HEILIN GUARNIZO</t>
  </si>
  <si>
    <t>cristian.velandia@caroycuervo.gov.co; heilin.guarnizo@caroycuervo.gov.co</t>
  </si>
  <si>
    <t>77101700; 80101604; 80101509</t>
  </si>
  <si>
    <t>GESTIÓN ADMINISTRATIVA</t>
  </si>
  <si>
    <t>PIGA - PEMP</t>
  </si>
  <si>
    <t>PRESTAR LOS SERVICIOS PROFESIONALES PARA EJECUTAR EL PLAN INSTITUCIONAL DE GESTIÓN AMBIENTAL –PIGA- Y SOCIALIZAR LA GESTIÓN DEL PLAN DE MANEJO Y PROTECCIÓN –PEMP- DE LA HACIENDA YERBABUENA</t>
  </si>
  <si>
    <t>MARÍA DEL ROSARIO BARROS PIMIENTA / ANDREA CARDOZO</t>
  </si>
  <si>
    <t>rosario.barros@caroycuervo.gov.co</t>
  </si>
  <si>
    <t>77101700; 80101604; 80101510</t>
  </si>
  <si>
    <t>GRUPO DE TECNOLOGÍAS DE LA INFORMACIÓN</t>
  </si>
  <si>
    <t>GESTIÓN DE TECNOLOGÍAS DE LA INFORMACIÓN Y LAS COMUNICACIONES</t>
  </si>
  <si>
    <t>MANTENIMIENTO Y SOPORTE DE HARDWARE DE COMPUTADOR</t>
  </si>
  <si>
    <t>CONTRATACION DE UN TECNÓLOGO EN SISTEMAS O AFINES PARA EL DESARROLLO DE ACTIVIDADES RELACIONADAS CON SOPORTE TÉCNICO, SOPORTE TECNOLÓGICO A USUARIOS, SISTEMAS DE INFORMACIÓN Y EQUIPOS DEL INSTITUTO CARO Y CUERVO</t>
  </si>
  <si>
    <t>HEILIN GUARNIZO</t>
  </si>
  <si>
    <t>heilin.guarnizo@caroycuervo.gov.co</t>
  </si>
  <si>
    <t>81111603; 81111602; 81111507</t>
  </si>
  <si>
    <t>PROGRAMADORES DE COMPUTADOR</t>
  </si>
  <si>
    <t>CONTRATACIÓN DE UN TÉCNICO O TECNÓLOGO EN SISTEMAS O AFINES PARA APOYAR EL DESARROLLO DE NUEVOS SISTEMAS DE BASE DE DATOS DE LA ENTIDAD, APOYO EN LA PARTE MISIONAL Y ESTRATÉGICO DEL INSTITUTO CARO Y CUERVO</t>
  </si>
  <si>
    <t>CONTRATACIÓN DE UN TECNÓLOGO DE SISTEMAS PARA EL DESARROLLO DE PLATAFORMAS WEB NUEVAS Y EXISTENTES DEL INSTITUTO CARO Y CUERVO Y LAS PLATAFORMAS DE LAS LÍNEAS DE LINGÜÍSTICA DE CORPUS Y COMPUTACIONAL</t>
  </si>
  <si>
    <t>82141505; 82141504</t>
  </si>
  <si>
    <t>CONTRATACIÓN PARA PRESTAR LOS SERVICIOS PROFESIONALES EN EL REDISEÑO, CONFIGURACIÓN DE MÓDULOS, PLUGINS Y CÓDIGO DE LA PÁGINA WEB Y MICROSITIOS DEL INSTITUTO CARO Y CUERVO</t>
  </si>
  <si>
    <t>CONTRATACIÓN PARA PRESTAR SERVICIOS PROFESIONALES COMO INGENIERO DE SISTEMAS PARA APOYAR LA GESTIÓN DE INFRAESTRUCTURA TECNOLOGÍA FÍSICA Y VIRTUAL DEL INSTITUTO CARO Y CUERVO.</t>
  </si>
  <si>
    <t>CONTRATACIÓN DE UN INGENIERO DE SISTEMAS CON PERFIL DE GESTIÓN DE INFRAESTRUCTURA TECNOLOGÍCA FÍSICA Y VIRTUAL PARA EL ICC</t>
  </si>
  <si>
    <t>SERVICIOS DE DISEÑO DE SITIOS WEB</t>
  </si>
  <si>
    <t>PRESTACIÓN DE SERVICIOS PROFESIONALES PARA DISEÑO, MANTENIMIENTO Y CREACIÓN DE MATERIAL GRÁFICO DE LOS SITIOS WEB Y LA IMAGEN DIGITAL DEL ICC</t>
  </si>
  <si>
    <t>81111506; 81111612</t>
  </si>
  <si>
    <t>CONTRATACIÓN DE UN INGENIERO DE SISTEMAS O CARRERAS AFINES PARA LA GESTIÓN, MAQUETACIÓN Y PROGRAMACIÓN DE OBJETOS DE APRENDIZAJE DE LOS CURSOS VIRTUALES DEL ICC</t>
  </si>
  <si>
    <t>CONTRATACIÓN PARA PRESTAR SERVICIOS PROFESIONALES PARA EL DISEÑO, MANTENIMIENTO Y CREACIÓN DE MATERIAL GRÁFICO DE LOS SITIOS WEB Y LA IMAGEN DIGITAL DEL INSTITUTO CARO Y CUERVO</t>
  </si>
  <si>
    <t>SERVICIO DE ANÁLISIS DE SISTEMAS</t>
  </si>
  <si>
    <t xml:space="preserve">CONTRATACIÓN PARA LA PRESTACIÓN DE SERVICIOS PROFESIONALES EN EL REDISEÑO, CONFIGURACIÓN DE MÓDULOS, PLUGINS Y CÓDIGO DE LA PÁGINA WEB Y MICROSITIOS DEL INSTITUTO </t>
  </si>
  <si>
    <t>81112204; 81112307</t>
  </si>
  <si>
    <t>PRESTAR LOS SERVICIOS PROFESIONALES PARA BRINDAR EL SOPORTE TÉCNICO EN CURSOS VIRTUALES, SERVICIOS TECNOLÓGICOS E INFRAESTRUCTURA DEL INSTITUTO CARO Y CUERVO</t>
  </si>
  <si>
    <t>LICENCIAMIENTO (ADOBE FILEMAKER  ANTIVIRUS GESTOR DE SITIOS WEB)</t>
  </si>
  <si>
    <t>RENOVACIÓN Y ADQUISICION DE LICENCIAMIENTO PARA EL ICC</t>
  </si>
  <si>
    <t>SELECCIÓN ABREVIADA SUBASTA INVERSA</t>
  </si>
  <si>
    <t>43222503; 81111811</t>
  </si>
  <si>
    <t>RENOVACION SMARNET</t>
  </si>
  <si>
    <t>CONTRATACIÓN PARA LA SUSCRIPCIÓN DE LOS SERVICIOS SMART NET TOTAL CARE PARA LOS EQUIPOS DE RED WIFI PROPIEDAD DEL INSTITUTO CARO Y CUERVO</t>
  </si>
  <si>
    <t xml:space="preserve">SOFTWARE DE CORREO ELECTRÓNICO Y OFFICE </t>
  </si>
  <si>
    <t>COMPRA DE LAS LICENCIAS DE CORREO ELÉCTRONICO  OFFICE Y NUBE PERSONAL DE TRABAJO PARA TODA LA ENTIDAD ADMINISTRATIVA Y ESTUDIANTIL</t>
  </si>
  <si>
    <t>ACUERDO MARCO</t>
  </si>
  <si>
    <t>SOFTWARE DE SERVIDOR DE AUTENTICACIÓN</t>
  </si>
  <si>
    <t>ADQUISICION DE CERTIFICADOS DE TELEFONIA IP (TEAMS)</t>
  </si>
  <si>
    <t>72101511;72151504</t>
  </si>
  <si>
    <t>MANTENIMIENTO UPS Y AIRE ACONDICIONADO</t>
  </si>
  <si>
    <t>CONTRATAR EL SERVICIO DE MANTENIMIENTO DE UPS Y AIRE ACONDICIONADO PARA LOS CENTROS DE DATOS DE LAS SEDES DEL ICC</t>
  </si>
  <si>
    <t>MANTENIMIENTO DE IMPRESORAS</t>
  </si>
  <si>
    <t>CONTRATAR EL SERVICIO DE MANTENIMIENTO DE IMPRESORAS RENOVACION DE LICENCIA Y ADQUISICION DE TONNER</t>
  </si>
  <si>
    <t>ASESOR INVESTIGACIÓN EXTERNA</t>
  </si>
  <si>
    <t>80111621; 90111601</t>
  </si>
  <si>
    <t>PROFESIONAL APOYO COORDINACIÓN INVESTIGACIÓN</t>
  </si>
  <si>
    <t>LA INTERNACIONALIZACIÓN DE LOS ESCRITORES "COLOMBIANOS" A PARTIR DE LA DECADA DE 1990: EDITORIALES, CRÍTICA PREMIOS Y EVENTOS COMO INTERMEDIARIOS DE VISIBILIDAD</t>
  </si>
  <si>
    <t>CO INVESTIGADOR DEL PROYECTO</t>
  </si>
  <si>
    <t>ASISTENTE DE INVESTIGACIÓN</t>
  </si>
  <si>
    <t>ASESOR ACADÉMICO EN EL ÁREA DE SOCIOLOGÍA</t>
  </si>
  <si>
    <t>POESIA EN MOVIMIENTO FASE 3</t>
  </si>
  <si>
    <t>ASISTENTE DE INVESTIGACIÓN CON PREGRADO</t>
  </si>
  <si>
    <t>ASISTENTE EDITORIAL CON PREGRADO</t>
  </si>
  <si>
    <t xml:space="preserve">CÓMO SE ESCRIBE UN TEXTO EN SUMAPAZ: APRENDER LDE LAS PRACTICAS DE ESCRITURA VERNACULAR EN COLOMBIA (FASE 4 DE 4 Y CONTINUACIÓN DE LA LÍNEA DE GLOTOPOLÍTICA) </t>
  </si>
  <si>
    <t>INVESTIGADOR</t>
  </si>
  <si>
    <t>DANIEL RUDAS</t>
  </si>
  <si>
    <t>CORE: HABAL CONECTADA Y REDUCCIÓN FONÉTICA EN EL ESPAÑOL DE COLOMBIA FASE II</t>
  </si>
  <si>
    <t>LINDA RODRÍGUEZ</t>
  </si>
  <si>
    <t>RAZA Y EDUCACIÓN EN SEGUNDAS LENGUAS (ESPAÑOL E INGLÉS): HACIA PEDAGOGÍAS DEL EMPODERAMIENTO INTERCULTURAL Y JUSTICIA SOCIAL-FASE II</t>
  </si>
  <si>
    <t>INSCRIPCIÓN EVENTO ACADÉMICO</t>
  </si>
  <si>
    <t>CUESTIONES DE GRAMÁTICA PARA PROFESORES DE ELE: SISTEMA VERBAL</t>
  </si>
  <si>
    <t>INSCRIPCIÓN EVENTO ACADÉMICO NACIONAL O INTERNACIONAL</t>
  </si>
  <si>
    <t>MONICA LOPEZ-LUZ DARY LEÓN</t>
  </si>
  <si>
    <t>80111621; 82111801</t>
  </si>
  <si>
    <t>ARTISTAS EN LAS CUBIERTAS DE LIBROS COLOMBIANOS EN LA PRIMERA MITAD DEL SIGLO XX</t>
  </si>
  <si>
    <t xml:space="preserve">EL CUENTO INFNATIL COLOMBIANO COMO HERRAMIENTA DIDÁCTICA PARA LA ENSEÑANZA DE ESPAÑOL COMO LENGUA EXTRANJERA Y SEGUNDA LENGUA (INDÍGENAS) PARA NIÑOS ENTRE 7 Y 12 AÑOS DE EDAD </t>
  </si>
  <si>
    <t>TRES INSCRIPCIONES A EVENTO ACADÉMICO NACIONAL O INTERNACIONAL</t>
  </si>
  <si>
    <t>DIANA HINCAPIE-LUZ DARY LEÓN-MÓNICA LÓPEZ</t>
  </si>
  <si>
    <t>RECORRIDO DE MELODÍAS DE MUJERES EN EL NOROESTE AMAZÓNICO. DOCUMENTACIPON Y DESCRIPCIÓN DE CANCIONES Y MÚSICAS DE MUJERES INDÍGENAS</t>
  </si>
  <si>
    <t>INVESTIGADORA</t>
  </si>
  <si>
    <t>KATHERINE BOLAÑOS</t>
  </si>
  <si>
    <t>SERVICIOS TÉCNICOS INVESTIGACIÓN</t>
  </si>
  <si>
    <t>HERMES SANCHEZ</t>
  </si>
  <si>
    <t>COMPETENCIAS EN TIC DE DOCENTES DE LENGUAS EXTRANJERAS: ANÁLISIS DE NECESIDADES  EN FORMACIÓN DOCENTE</t>
  </si>
  <si>
    <t>DOS INSCRIPCIONES A EVENTO ACADÉMICO INTERNACIONAL</t>
  </si>
  <si>
    <t>NOVELA SIN FICCÓN SOBRE LA DESGRACIA PROPIA</t>
  </si>
  <si>
    <t>JUAN ALVAREZ</t>
  </si>
  <si>
    <t>CARTOGRAFÍA CRÍTICA DEL CUENTO EN COLOMBIA: LA DÉCADA DE LOS 80 Y LOS ARCHIVOS LITERARIOS III PARTE</t>
  </si>
  <si>
    <t>TANIA TRIANA</t>
  </si>
  <si>
    <t>CORPUS LEXICO DEL ESPAÑOL DE COLOMBIA CORLEXCO CUARTA FASE: CONSTRUCCIONES ADVERBIALES (LOCUCIONES Y COLOCACIONES)</t>
  </si>
  <si>
    <t>INSCRIPCIÓN AL IX CONGRESO INTERNACIONAL DE LEXICOGRAFÍA HISPANICA EVENTO VIRTUAL</t>
  </si>
  <si>
    <t>IMPACTO DE LA RETROALIMENTACIÓN ESCRITA EN EL APRONDIZAJE DE LOS ESTUDIANTES DE LENGUAS EXTRANJERAS EN AMBIENTES DE APRENDIZAJE UN ESTUDIO MULTICASOS</t>
  </si>
  <si>
    <t>INSCRIPCIÓN AL VIII CONGRESO INTERNACIONAL SOBRE LA ENSEÑANZA DEL ESPAÑOL</t>
  </si>
  <si>
    <t>MACROPROYECTO NUEVO ATLAS LINGÜÍSTICO - ANTROPOLÓGICO DE COLOMBIA POR REGIONES NALAC FASE 4 AÑO 2022</t>
  </si>
  <si>
    <t>LIDER DIMENSIÓN GEOLINGUÍSTICA</t>
  </si>
  <si>
    <t>DANIEL BEJARANO</t>
  </si>
  <si>
    <t>MACROPROYECTO NUEVO ATLAS LINGUISTICO-ANTROPOLÓGICO DE COLOMBIA POR REGIONES NALAC FASE 4 AÑO 2022</t>
  </si>
  <si>
    <t>CO INVESTIGADOR DIMENSIÓN GEOLINGUÍSTICA</t>
  </si>
  <si>
    <t>JHONATAN BONILLA</t>
  </si>
  <si>
    <t>80111621;80111608</t>
  </si>
  <si>
    <t>DESARROLLADOR DIMENSIÓN GEOLINGUÍSTICA</t>
  </si>
  <si>
    <t>BRAYAN OVIEDO</t>
  </si>
  <si>
    <t>80111621;  86101710</t>
  </si>
  <si>
    <t>MACROPROYECTO NUEVO ATLAS LINGUISTICO-ANTROPOLOGICO DE COLOMBIA POR REGIONES NALAC FASE 4 AÑO 2022</t>
  </si>
  <si>
    <t>LÍDER DIMENSIÓN DE CORPUS Y LEXICOGRÁFICA</t>
  </si>
  <si>
    <t>MACROPROYECTO NUEVO ATLAS LINGUÍSTICO-ANTROPOLÓGICO DE COLOMBIA POR REGIONES NALAC FASE 4 AÑO 2022</t>
  </si>
  <si>
    <t>ASISTENTE DIMENSIÓN DE CORPUS Y LEXICOGRÁFICA</t>
  </si>
  <si>
    <t>LEIDY NATHALIA SOLANO</t>
  </si>
  <si>
    <t>LIDER DIMENSIÓN ANTROPOLÓGICA</t>
  </si>
  <si>
    <t>ALEJANDRO MUNEVAR</t>
  </si>
  <si>
    <t>ASISTENTE LEXICOGRAFO PEDAGOGO</t>
  </si>
  <si>
    <t>DESARROLLADOR DE SISTEMAS</t>
  </si>
  <si>
    <t>ASISTENTE INTERDIMENSIONES NALAC</t>
  </si>
  <si>
    <t>NACIÓN CULTURAL VS. FRONTERAS POLÍTICAS Y
LINGÜÍSTICAS II: POÉTICAS TRANSFRONTERIZAS AFRO
ENACIÓN CULTURAL VS. FRONTERAS POLÍTICAS Y
LINGÜÍSTICAS II: POÉTICAS TRANSFRONTERIZAS AFRO
E INDÍGENAS</t>
  </si>
  <si>
    <t>PETER RONDÓN</t>
  </si>
  <si>
    <t>ASISTENCIA AUTOMÁTICA PARA LA EVALUACIÓN Y ENSEÑANZA DE LA COMPETENCIA ESCRITA EN GRANDES COMUNIDADES EDUCATIVAS (PRUEBA DE CONCEPTO DEL MODELO DE EVALUACIÓN)</t>
  </si>
  <si>
    <t xml:space="preserve">PAGO ARTÍCULO ARTICLE PROCESSING CHARGES APC </t>
  </si>
  <si>
    <t>ANÁLISIS CONTRASTIVO LSC-L2 DE LOS SORDOS (FASE 2): CORPUES PARALELO DE UNIDADES LEXICAS LSC Y ESPAÑOL</t>
  </si>
  <si>
    <t>CONTRATO SERVICIOS TÉCNICOS SEGMENTACIÓN Y TRANSCRIPCIÓN DEL DE GLOSAS EN VIDEO  EL PERFIL DE TRANSCRIPTORES
1). PROFESIONALES O ESTUDIANTES UNIVERSITARIOS DE ÚLTIMO SEMESTRE CON AMPLIO CONOCIMIENTO EN SEGMENTACIÓN Y TRANSCRIPCIÓN CON EL SOFTWARE ELAN. TAMBIÉN PUEDEN SER PERSONAS SORDAS BACHILLERES QUE TAMBIÉN ACREDITEN ENTRENAMIENTO Y EXPERIENCIA EN EL USO DE ELAN.
2).CONOCIMIENTO BÁSICO DE LENGUA DE SEÑAS COLOMBIANA (LSC)</t>
  </si>
  <si>
    <t>PAGO INSCRIPCIÓN EVENTO 240 DÓLARES
3º CONGRESO NACIONAL DE PESQUISAS EM LINGUÍSTCICA E LINGUAS DE SINAIS/ 7 CONGRESSO NACIONAL DE PESQUISAS EN TRADUCAO E INTERPRETACAO DE LIBRAR E LINGUA PORTUGUESA/4 SEMINARIO FRANCO-BRASILEIRO DE ESTUDIOS SURDOS: LINGUAS DE SINAIS, ARTES E TRADUCAO E INTERPRETACAO
FECHA: 27 DE JUNIO DE 2022 A 1 JULIO DE 2022
FECHAS LÍMITE DE PAGO: 
HASTA EL 20 DE ENERO DE 2022, USD$100
HASTA EL 30 DE MARZODE 2022, USD$170
EN EL SITIO DEL EVENTO 29 DE JUNIO DE 2022, USD$240</t>
  </si>
  <si>
    <t>DICCIONARIO LENGUA INDÍGENA ANDOQUE</t>
  </si>
  <si>
    <t>LEIDY STELLA CALDERÓN</t>
  </si>
  <si>
    <t>LINA MARÍA GARCÍA</t>
  </si>
  <si>
    <t>CONTRATO INVESTIGADOR</t>
  </si>
  <si>
    <t>EDWIN ALGARRA</t>
  </si>
  <si>
    <t>CONTRATO ASISTENTE DE INVESTIGACIÓN</t>
  </si>
  <si>
    <t>PROYECTO DE EMPRENDIMIENTO DE LA IMPRENTA PATRIÓTICA</t>
  </si>
  <si>
    <t>CONTRATACIÓN DE APOYO PARA ENCUADERNACIÓN EN PASTA DURA PARA LOS PROYECTOS DE DIRECCIÓN DE PATRIMONIO Y SELLO EDITORIAL</t>
  </si>
  <si>
    <t>Reducir dos semanas</t>
  </si>
  <si>
    <t>EVALUADORES CUENTOS LA PERA DE ORO</t>
  </si>
  <si>
    <t>Revisar convenio para definir acuerdos</t>
  </si>
  <si>
    <t>PAGO ELABORACIÓN Y MONTAJE STAND PARA LA FERIA INTERNACIONAL DEL LIBRO DE BOGOTÁ 2022</t>
  </si>
  <si>
    <t>Revisar diseño en 2021 por funcionamiento</t>
  </si>
  <si>
    <t>CONTRATACIÓN DE DISEÑO PARA PROYECTOS ESPECIALES</t>
  </si>
  <si>
    <t>Se ajusta valor proyectado</t>
  </si>
  <si>
    <t xml:space="preserve">CONTRATACIÓN  PARA PRESTAR LOS SERVICIOS PROFESIONALES ESPECIALIZADOS EN COMUNICACIÓN SOCIAL -ÉNFASIS EN LÍNEA EDITORIAL- COMO EDITORA ASISTENTE DE LA REVISTA THESAURUS </t>
  </si>
  <si>
    <t>82121603; 82121503</t>
  </si>
  <si>
    <t>SERVICIOS DE IMPRESIÓN EXTERNA Y QUEMADO DE PLANCHAS, SERVICIOS CTP</t>
  </si>
  <si>
    <t>Se ajusta valor. En caso de requerir recursos adicionales, se  revisará con recursos que se vayan liberando en la vigencia</t>
  </si>
  <si>
    <t>14120000; 14129600; 14117900; 60121808; 21271703; 6012132</t>
  </si>
  <si>
    <t>COMPRA DE INSUMOS (PAPELES, CARTULINAS, LAVADORES ECOLÓGICOS DE MÁQUINAS IMPRESORAS, PAPELES FINOS, LECHE DE BURRA (LIMPIADOR DE PLANCHAS), CARTONES DE ENCUADERNACIÓN FINA, ESTOPA PARA LIMPIEZA DE RODILLOS, TINTAS).</t>
  </si>
  <si>
    <t>Se avanzó en una parte de la adquisición en el 2021 (proceso declarado desierto)</t>
  </si>
  <si>
    <t>SERVICIOS DE ASESORÍA ESTRATÉGICA EN COMUNICACIONES</t>
  </si>
  <si>
    <t xml:space="preserve">Se incremente valor mensual debibo a que se adicionan actividades nuevas y se reduce plazo del contrato a 10,5 meses </t>
  </si>
  <si>
    <t>SERVICIO DE GESTOR DE CONTENIDOS EN INTERNET (REDES SOCIALES)</t>
  </si>
  <si>
    <t>PROCESAMIENTO TÉCNICO (CATALOGACIÓN Y CLASIFICACIÓN) DEL MATERIAL BIBLIOGRÁFICO (NUEVO Y RETROSPECTIVO) RECIBIDO EN LA BIBLIOTECA, E INGRESO AL SISTEMA DE INFORMACIÓN BIBLIOGRÁFICO KOHA Y ORGANIZACIÓN DE LOS ARCHIVOS PATRIMONIALES.</t>
  </si>
  <si>
    <t>NORMALIZAR Y DEPURAR  2.000 TÍTULOS RETROSPECTIVOS, ASI COMO TAMBIEN VALIDAR Y  ASIGNAR  EL PRECIO, CON EL FIN DE AVANZAR EN EL TEMA DEL CONTROL CONTABLE DE LAS COLECCIONES EN LA BASE DE DATOS DATOS BIBLIOGRÁFICA.</t>
  </si>
  <si>
    <t>REALIZAR LA PREPARACIÓN FÍSICA (ROTULADO, SELLADO, ASIGNACIÓN DE CÓDIGO DE BARRAS Y DIPOSITIVOS DE CONTROL) A 1300 ÍTEMS DEL MATERIAL BIBLIOGRÁFICO ADQUIRIDO, ASÍ COMO DEL RETOSPECTIVO NORMALIZADO.</t>
  </si>
  <si>
    <t xml:space="preserve">SERVICIOS DE COMUNICACIÓN INTERNA Y ORGANIZACIONAL </t>
  </si>
  <si>
    <t xml:space="preserve">SERVICIOS DE DESARROLLADOR MULTIMEDIA Y DISEÑADOR GRÁFICO </t>
  </si>
  <si>
    <t>SERVICIOS DE PRODUCCIÓN RADIAL Y APOYO EN SONIDO</t>
  </si>
  <si>
    <t>SERVICIOS DE COORDINACIÓN RADIAL</t>
  </si>
  <si>
    <t>CONTRATACIÓN DE SERVICIOS DE LINOTIPIA PARA LAS OBRAS QUE SE PRODUCEN EN LA IMPRENTA PATRIÓTICA DEL INSTITUTO C ARO Y CUERVO.</t>
  </si>
  <si>
    <t>82121502; 80111601</t>
  </si>
  <si>
    <t>CONTRATACIÓN DE SERVICIOS DE APOYO EN TAREAS DE DIAGRAMACIÓN DIGITAL Y TAREAS ADMINISTRATRIVAS PARA EL SELLO EDITORIAL E IMPRENTA PATRIÓTICA DEL ICC</t>
  </si>
  <si>
    <t>CONTRATACIÓN PARA PRESTAR LOS SERVICIOS PROFESIONALES PARA IMPLEMENTAR EL PLAN MUSEOLÓGICO QUE REACTIVE LOS MUSEOS DEL INSTITUTO CARO Y CUERVO</t>
  </si>
  <si>
    <t>CONTRATACIÓN PARA PRESTAR LOS SERVICIOS PROFESIONALES PARA IMPLEMENTAR ACCIONES DE INVESTIGACIÓN Y CURADURÍA DE LAS COLECCIONES MUEBLES QUE REACTIVE LOS MUSEOS DEL INSTITUTO CARO Y CUERVO</t>
  </si>
  <si>
    <t>CONTRATACIÓN PARA PRESTAR LOS SERVICIOS PROFESIONALES PARA IMPLEMENTAR ACCIONES DE CONSERVACIÓN PREVENTIVA QUE REACTIVE LOS MUSEOS DEL INSTITUTO CARO Y CUERVO</t>
  </si>
  <si>
    <t>CONTRATACIÓN PARA PRESTAR LOS SERVICIOS TÉCNICOS PARA IMPLEMENTAR ACCIONES DE COMUNICACIÓN EDUCATIVA, GENERAR Y ACTUALIZAR DE CONTENIDOS EN EL SITIO WEB DE GESTIÓN DE MUSEOS Y LAS REDES SOCIALES DEL ICC</t>
  </si>
  <si>
    <t>93141708; 80111617</t>
  </si>
  <si>
    <t xml:space="preserve">SERVICIOS PROFESIONALES ARQUITECTO MUSEÓGRAFO </t>
  </si>
  <si>
    <t xml:space="preserve">SERVICIOS DE ASESORIA ARQUITÉCTONICA PARA EL PROYECTO MUSEOGRÁFICO </t>
  </si>
  <si>
    <t>REGISTRO CALIFICADO</t>
  </si>
  <si>
    <t>CONTRATACIÓN PARA PRESTAR LOS SERVICIOS PROFESIONALES PARA LA SOLICITUD DE REGISTRO CALIFICADO INSTITUCIONAL Y APRECIACIÓN DE CONDICIONES INICIALES INSTITUCIONALES</t>
  </si>
  <si>
    <t xml:space="preserve">CONTRATACIÓN PARA LA PRESTACIÓN DE SERVICIOS PROFESIONALES EN EL DESARROLLO DE ACTIVIDADES DE RELACIÓN CON COMUNIDADES ÉTNICAS, APOYO EN EL DESARROLLO DE EVENTOS ACADÉMICOS Y CULTURALES, Y ACTIVIDADES DE EDUCACIÓN CONTINUA </t>
  </si>
  <si>
    <t>CANCILLERÍA</t>
  </si>
  <si>
    <t>CONTRATACIÓN DE UN PROFESIONAL PARA PRESTAR LOS SERVICIOS PROFESIONALES PARA DESEMPEÑARSE COMO DOCENTE DE LENGUAJE EN LA ACADEMIA DIPLOMÁTICA; CREAR, ELABORAR, EVALUAR Y REVISAR EL COMPONENTE DE EXPRESIÓN ESCRITA DEL EXAMEN DE INGRESO A LA CARRERA DIPLOMÁTICA Y CONSULAR 2021</t>
  </si>
  <si>
    <t>Se reduce contrato PS a 9,5 meses</t>
  </si>
  <si>
    <t>CONTRATACIÓN SERVICIOS PROFESIONALES PARA APOYAR LAS ACTIVIDADES DE EDICIÓN DE COMUNITARIA DE LA SUBDIRECCIÓN ACADÉMICA</t>
  </si>
  <si>
    <t>CONTRATACIÓN PARA DIRIGIR LA LÍNEA DE INVESTIGACIÓN EN GLOTOPOLÍTICA DEL ICC EN EL MARCO DE LA CÁTEDRA UNESCO DE POLÍTICAS LINGÜÍSTICAS PARA EL MULTILINGÜISMO Y LA BECA FULBRIGHT SPECIALIST</t>
  </si>
  <si>
    <t>CONTRATACIÓN DE SERVICIOS DE APOYO PARA EL PROYECTO ANDOQUE</t>
  </si>
  <si>
    <t>80111621; 86101700</t>
  </si>
  <si>
    <t>CONTRATO SERVICIOS PROFESIONALES PARA EL LEVANTAMIENTO DE LA EDICIÓN CRÍTICA LIBRO EL CARNERO"</t>
  </si>
  <si>
    <t xml:space="preserve">SERVICIOS DE GESTOR DE CONTENIDOS WEB Y DISEÑO GRÁFICO </t>
  </si>
  <si>
    <t>Se reduce valor en la mensualidad debibo a ajuste en obligaciones</t>
  </si>
  <si>
    <t xml:space="preserve">NUEVO ÍTEM. CONTRATACIÓN DOCENTE: DOCENTES CURSO TRONCAL: EL MODELO DE NEGOCIO (2022-1) </t>
  </si>
  <si>
    <t>93151501; 80111715; 80101510</t>
  </si>
  <si>
    <t>SISTEMA INTEGRADO DE GESTIÓN</t>
  </si>
  <si>
    <t>PRESTAR LOS SERVICIOS PROFESIONALES EN EL GRUPO DE PLANEACIÓN PARA PARA LA ORIENTACIÓN E IMPLEMENTACIÓN DEL MODELO INTEGRADO DE PLANEACIÓN Y GESTIÓN (MIPG ) Y EL SISTEMA INTEGRADO DE GESTION</t>
  </si>
  <si>
    <t>78111502; 90121502</t>
  </si>
  <si>
    <t>TIQUETES: PARA DESPLAZARSE A IMPARTIR CURSOS DE DOCUMENTACIÓN LINGÜÍSTICA Y CULTURAL A COMUNIDADES INDÍGENAS EN EL MARCO DE SENTENCIAS DE JUZGADOS Y/O PLANES INTEGRALES DE REPARACIÓN - PLAN DECENAL DE LENGUAS</t>
  </si>
  <si>
    <t>TIQUETES: SALIDA DE CAMPO 1 TIQUETES (AVIONETA) MITÚ-BUENOS AIRES (COMUNIDAD CABIYARÍ.BARASANA, TAIWANAS), IDA Y VUELTA</t>
  </si>
  <si>
    <t>TEXTUALIDADES DESDE TRES PUNTOS CARDINALES: AGENCIAS Y REPRESENTACIONES DE PERTENENCIA COLECTIVA AFRO E INDÍGENA</t>
  </si>
  <si>
    <t>TIQUETES: SALIDA DE CAMPO TIQUETES A BARRANCOMINAS GUAINIA</t>
  </si>
  <si>
    <t>TIQUETES: SALIDA DE CAMPO 1 TIQUETE (VUELO COMERCIAL) BOGOTÁ-MITU-MITU-BOGOTÁ</t>
  </si>
  <si>
    <t>TIQUETES:SALIDA DE CAMPO 1 TIQUETE (VUELO COMERCIAL) BOGOTÁ-MITU-MITU-BOGOTÁ</t>
  </si>
  <si>
    <t>TIQUETES:TIQUETE PARTICIPACIÓN HAY FESTIVAL 2022</t>
  </si>
  <si>
    <t>GASTOS DE VIAJE SALIDAD DE CAMPO TRANSPORTE EN LANCHA: MITÚ-WACARÁ (COMUNIDAD KAKUA) (INCLUYE, ALQUILER DE BOTE, GASOLINA, ALQUILER DE MOTO Y MOTORISTA</t>
  </si>
  <si>
    <t>GASTOS DE VIAJE- GASTOS VARIOS EN AVUPÉS: GASOLINA PARA INTERCAMBIO POR HOSPEDAJES EN LAS COMINIDADES. ALIMENTACIÓN. ELEMENTOS BÁSICOS PARA INTERCMABIO POR HOSPEDAJES. MATERIALES PARA ACTIVIDADES A DESARROLLAR CON MUJERES</t>
  </si>
  <si>
    <t>GASTOS DE VIAJE HOSPEDAJE EN MITU: 2 NOCHES. (NOCHE DE LLEGADA A MITÚ Y ANOCHE ANTES DE REGRESO DE MITÚ A BOGOTÁ)</t>
  </si>
  <si>
    <t>SALIDA DE CAMPO GASTOS DE VIAJE HOSPEDAJE GUAINIA</t>
  </si>
  <si>
    <t>LOGÍSTICA</t>
  </si>
  <si>
    <t>PAGO MEMBRESÍA RRUC</t>
  </si>
  <si>
    <t>PAGO DE MEMBRESÍA ASEUC</t>
  </si>
  <si>
    <t>PAGO DE FLICKR ANUAL</t>
  </si>
  <si>
    <t>PAGO DE ZOOM PRO</t>
  </si>
  <si>
    <t>PAGO DERECHOS DE AUTOR SAYCO</t>
  </si>
  <si>
    <t>PAGO SERVIDOR EMISORA RADIO.CO</t>
  </si>
  <si>
    <t>ADMINISTRATIVA Y FINANCIERA</t>
  </si>
  <si>
    <t>TALENTO HUMANO</t>
  </si>
  <si>
    <t>GESTIÓN TALENTO HUMANO</t>
  </si>
  <si>
    <t>PLAN ESTRATEGICO DE TALENTO HUMANO</t>
  </si>
  <si>
    <t>GASTOS EN ARL DE PRACTICANTES</t>
  </si>
  <si>
    <t>LILIANA JEANNETTE MONTOYA TALERO</t>
  </si>
  <si>
    <t>INVERSIÓN</t>
  </si>
  <si>
    <t>PAGO DE ISBN</t>
  </si>
  <si>
    <t>PAGO CUOTA ASCUN</t>
  </si>
  <si>
    <t>PAGO CUOTA SICELE</t>
  </si>
  <si>
    <t>CONTRATACIÓN DE SERVICIOS PROFESIONALES PARA APOYAR ACTIVIDADES DE LA DIRECCIÓN GENERAL DEL ICC</t>
  </si>
  <si>
    <t>SAC - CONTRATACIONES SAC</t>
  </si>
  <si>
    <t>FUENTE</t>
  </si>
  <si>
    <t>RECURSOS</t>
  </si>
  <si>
    <t>OBJETO DE GASTO</t>
  </si>
  <si>
    <t>VALOR ESTIMADO DE LA VIGENCIA ACTUAL</t>
  </si>
  <si>
    <t>OBSERVACIONES</t>
  </si>
  <si>
    <t>CUENTA PRESUPUESTAL</t>
  </si>
  <si>
    <t>PLAN ESTRATÉGICO DE TALENTO HUMANO</t>
  </si>
  <si>
    <t>SUELDO BÁSICO</t>
  </si>
  <si>
    <t>ENERO</t>
  </si>
  <si>
    <t>no aplica</t>
  </si>
  <si>
    <t>A-01-01-01-001-001</t>
  </si>
  <si>
    <t>liliana.montoya@caroycuervo.gov.co</t>
  </si>
  <si>
    <t>PRIMA TÉCNICA SALARIAL</t>
  </si>
  <si>
    <t>A-01-01-01-001-003</t>
  </si>
  <si>
    <t>SUBSIDIO DE ALIMENTACIÓN</t>
  </si>
  <si>
    <t>A-01-01-01-001-004</t>
  </si>
  <si>
    <t>AUXILIO DE TRANSPORTE</t>
  </si>
  <si>
    <t>A-01-01-01-001-005</t>
  </si>
  <si>
    <t>PRIMA DE SERVICIO</t>
  </si>
  <si>
    <t>A-01-01-01-001-006</t>
  </si>
  <si>
    <t>BONIFICACIÓN POR SERVICIOS PRESTADOS</t>
  </si>
  <si>
    <t>A-01-01-01-001-007</t>
  </si>
  <si>
    <t>HORAS EXTRAS, DOMINICALES, FESTIVOS Y RECARGOS</t>
  </si>
  <si>
    <t>A-01-01-01-001-008</t>
  </si>
  <si>
    <t>PRIMA DE NAVIDAD</t>
  </si>
  <si>
    <t>A-01-01-01-001-009</t>
  </si>
  <si>
    <t>PRIMA DE VACACIONES</t>
  </si>
  <si>
    <t>A-01-01-01-001-010</t>
  </si>
  <si>
    <t xml:space="preserve">AUXILIO DE CONECTIVIDAD DIGITAL </t>
  </si>
  <si>
    <t>A-01-01-01-001-012</t>
  </si>
  <si>
    <t>APORTES A LA SEGURIDAD SOCIAL EN PENSIONES</t>
  </si>
  <si>
    <t>A-01-01-02-001</t>
  </si>
  <si>
    <t>APORTES A LA SEGURIDAD SOCIAL EN SALUD</t>
  </si>
  <si>
    <t>A-01-01-02-002</t>
  </si>
  <si>
    <t xml:space="preserve">AUXILIO DE CESANTÍAS </t>
  </si>
  <si>
    <t>A-01-01-02-003</t>
  </si>
  <si>
    <t>APORTES A CAJAS DE COMPENSACIÓN FAMILIAR</t>
  </si>
  <si>
    <t>A-01-01-02-004</t>
  </si>
  <si>
    <t>APORTES GENERALES AL SISTEMA DE RIESGOS LABORALES</t>
  </si>
  <si>
    <t>A-01-01-02-005</t>
  </si>
  <si>
    <t>APORTES AL ICBF</t>
  </si>
  <si>
    <t>A-01-01-02-006</t>
  </si>
  <si>
    <t>APORTES AL SENA</t>
  </si>
  <si>
    <t>A-01-01-02-007</t>
  </si>
  <si>
    <t>VACACIONES</t>
  </si>
  <si>
    <t>A-01-01-03-001-001</t>
  </si>
  <si>
    <t>INDEMNIZACIÓN POR VACACIONES</t>
  </si>
  <si>
    <t>A-01-01-03-001-002</t>
  </si>
  <si>
    <t>BONIFICACIÓN ESPECIAL DE RECREACIÓN</t>
  </si>
  <si>
    <t>A-01-01-03-001-003</t>
  </si>
  <si>
    <t>PRIMA TÉCNICA NO SALARIAL</t>
  </si>
  <si>
    <t>A-01-01-03-002</t>
  </si>
  <si>
    <t>PRIMA DE COORDINACIÓN</t>
  </si>
  <si>
    <t>A-01-01-03-016</t>
  </si>
  <si>
    <t>BONIFICACIÓN DE DIRECCIÓN</t>
  </si>
  <si>
    <t>A-01-01-03-030</t>
  </si>
  <si>
    <t>INCAPACIDADES Y LICENCIAS DE MATERNIDAD Y PATERNIDAD (NO DE PENSIONES)</t>
  </si>
  <si>
    <t>A-03-04-02-012</t>
  </si>
  <si>
    <t>PRESTAR LOS SERVICIOS DE APOYO ADMINISTRATIVO DEL GRUPO DE GESTIÓN CONTRACTUAL DEL INSTITUTO CARO Y CUERVO</t>
  </si>
  <si>
    <t>A-02-02-02-008-005</t>
  </si>
  <si>
    <t>LEYDI JULIET PINZÓN CEPEDA</t>
  </si>
  <si>
    <t>leydi.pinzon@caroycuervo.gov.co</t>
  </si>
  <si>
    <t>ADQUISICIÓN DE BIENES Y SERVICIOS</t>
  </si>
  <si>
    <t>CONTRATACIÓN PARA PRESTAR LOS SERVICIOS PROFESIONALES PARA ADELANTAR LOS PROCESOS Y TRÁMITES CONTRACTUALES DEL INSTITUTO</t>
  </si>
  <si>
    <t>A-02-02-02-008-002</t>
  </si>
  <si>
    <t>84111703; 93151501</t>
  </si>
  <si>
    <t xml:space="preserve">SUBDIRECCIÓN ADMINISTRATIVA Y FINANCIERA </t>
  </si>
  <si>
    <t>CONTRATACIÓN PARA LA PRESTACIÓN DE SERVICIOS PROFESIONALES EN LA SUBDIRECCIÓN ADMINISTRATIVA Y FINANCIERA, SUS GRUPOS INTERNOS DE TRABAJO A TRAVÉS DEL APOYO, ACOMPAÑAMIENTO Y CONSOLIDACIÓN TRANSVERSAL DE LAS ACTIVIDADES DE LOS PLANES, PROGRAMAS Y PROCESOS DEL INSTITUTO CARO Y CUERVO.</t>
  </si>
  <si>
    <t>A-02-02-02-008-003</t>
  </si>
  <si>
    <t>HÉCTOR ALEJANDRO CADAVID VILLA</t>
  </si>
  <si>
    <t>hector.cadavid@caroycuervo.gov.co</t>
  </si>
  <si>
    <t>CONTABILIDAD Y PRESUPUESTO</t>
  </si>
  <si>
    <t>PRESTAR SERVICIOS DE APOYO A LA GESTIÓN CON CONOCIMIENTOS TÉCNICOS, TECNOLOGOS O UNIVERSITARIOS EN CONTABILIDAD PARA ASESORAR LA ACTUALIZACIÓN Y MANTENIMIENTO DE LOS BIENES DE INVENTARIOS, PROPIEDAD, PLANTA Y EQUIPO, BIENES DE INTERES CULTURAL Y BIENES PATRIMONIALES DEL INSTITUTO CARO Y CUERVO, APOYANDO AL CONTADOR DE LA ENTIDAD EN EL ADECUADO RECONOCIMIENTO CONTABLE EN SIIF NACIÓN Y EL ERP WEB SAFI. LA NECESIDAD NACE DE LOS PLANES DE MEJORAMIENTO SUSCRITOS POR LA ENTIDAD</t>
  </si>
  <si>
    <t>AURIS MARGARITA MENDOZA URECHE</t>
  </si>
  <si>
    <t>auris.mendoza@caroycuervo.gov.co</t>
  </si>
  <si>
    <t>PRESTACIÓN DE SERVICIOS PROFESIONALES COMO CONTADOR PÚBLICO EN EL INSTITUTO CARO Y CUERVO PARA APOYAR LA CONTABILIZACIÓN DE INGRESOS Y EGRESOS, EMISIÓN DE FACTURAS,  Y SEGUIMIENTO DE PLANES SUSCRITOS POR EL PROCESO DE CONTABILIDAD Y PRESUPUESTO</t>
  </si>
  <si>
    <t>GESTIÓN DEL TALENTO HUMANO</t>
  </si>
  <si>
    <t>CONTRATACIÓN PARA PRESTAR LOS SERVICIOS PROFESIONALES EN LA EJECUCIÓN DE ACTIVIDADES DE CAPACITACIÓN Y BIENESTAR SOCIAL PARA LOS FUNCIONARIOS DEL INSTITUTO CARO Y CUERVO DURANTE LA VIGENCIA 2022 DE CONFORMIDAD CON LAS ESPECIFICACIONES TÉCNICAS CONTEMPLADAS EN EL DOCUMENTO TÉCNICO Y DEMÁS DOCUMENTOS QUE HACEN PARTE DEL PROCESO.</t>
  </si>
  <si>
    <t>A-02-02-02-009-003</t>
  </si>
  <si>
    <t>COMPENSAR ACTUAL</t>
  </si>
  <si>
    <t>JUNIO</t>
  </si>
  <si>
    <t>A-02-02-02-009-002</t>
  </si>
  <si>
    <t>53101902; 53101904; 53111601; 53111602</t>
  </si>
  <si>
    <t>PRIMERA ENTREGA DE DOTACIÓN DE LEY PARA LOS FUNCIONARIOS QUE TIENEN DERECHO</t>
  </si>
  <si>
    <t>MARZO</t>
  </si>
  <si>
    <t>A-02-02-01-002-008</t>
  </si>
  <si>
    <t>SEGUNDA ENTREGA DE DOTACIÓN DE LEY PARA LOS FUNCIONARIOS QUE TIENEN DERECHO</t>
  </si>
  <si>
    <t>AGOSTO</t>
  </si>
  <si>
    <t>TERCERA ENTREGA DE DOTACIÓN DE LEY PARA LOS FUNCIONARIOS QUE TIENEN DERECHO</t>
  </si>
  <si>
    <t>OCTUBRE</t>
  </si>
  <si>
    <t>PRESTAR LOS SERVICIOS PROFESIONALES PARA APOYAR EL PROCESO DE MODERNIZACIÓN INSTITUCIONAL, ASÍ COMO EL DESARROLLO DE PLANES Y PROGRAMAS DEL GRUPO DE TALENTO HUMANO.</t>
  </si>
  <si>
    <t xml:space="preserve">43231505; 43231508; 43231506 </t>
  </si>
  <si>
    <t>GESTIÓN FINANCIERA</t>
  </si>
  <si>
    <t xml:space="preserve">CONTRATACIÓN PARA LA PRESTACIÓN DE SOPORTE TÉCNICO, ACTUALIZACIÓN Y MANTENIMIENTO Y DESARROLLO DEL SERVICIO SAAS WEBSAFI ERP </t>
  </si>
  <si>
    <t>PAGO DEL REGISTRO DE LA OPEC A LA CNSC</t>
  </si>
  <si>
    <t>MAYO</t>
  </si>
  <si>
    <t>46181501; 46181533; 46181504; 46181604; 46181605; 46181804; 46181901; 46181902; 46182002; 46182005; 53101502; 53101602; 53101802; 12352104; 46181507; 31201513; 41112224</t>
  </si>
  <si>
    <t>ADQUISICIÓN DE ELEMENTOS DE PROTECCIÓN DE PERSONAL ANUALES</t>
  </si>
  <si>
    <t>JULIO</t>
  </si>
  <si>
    <t>A-02-02-01-002-007</t>
  </si>
  <si>
    <t>JENNY PAOLA LEÓN MARTINEZ</t>
  </si>
  <si>
    <t>jenny.leon@caroycuervo.gov.co</t>
  </si>
  <si>
    <t>85111611; 85111612; 93141506</t>
  </si>
  <si>
    <t>SERVICIOS DE EXÁMENES MÉDICOS DE INGRESO Y EGRESO DE FUNCIONARIOS / MEDICIÓN DE CLIMA LABORAL</t>
  </si>
  <si>
    <t>COMPRA DE UN ALCOHOLIMETRO</t>
  </si>
  <si>
    <t>A-02-02-01-004-008</t>
  </si>
  <si>
    <t>VIÁTICOS Y GASTOS DE VIAJES FUNCIONARIOS DEL INSTITUTO CARO Y CUERVO</t>
  </si>
  <si>
    <t>FEBRERO</t>
  </si>
  <si>
    <t>A-02-02-02-010</t>
  </si>
  <si>
    <t>GESTIÓN DOCUMENTAL (INFORMACIÓN Y COMUNICACIÓN)</t>
  </si>
  <si>
    <t>ADQUISICIÓN DE CARPETAS PARA ARCHIVO CENTRAL</t>
  </si>
  <si>
    <t>A-02-02-01-003-002</t>
  </si>
  <si>
    <t>ANDRÉS COY RODRÍGUEZ</t>
  </si>
  <si>
    <t>andres.coy@caroycuervo.gov.co</t>
  </si>
  <si>
    <t>CONTRATACIÓN PARA PRESTAR LOS SERVICIOS DE ADMISIÓN, RECIBO, CURSO Y ENTREGA DE CORRESPONDENCIA CERTIFICADA Y DEMÁS ENVÍOS POSTALES A NIVEL URBANO, NACIONAL E INTERNACIONAL O CUALQUIER OTRO SERVICIO QUE PRESTE O LLEGARE A PRESTAR LA ENTIDAD SEGÚN PROPUESTA ECONÓMICA REMITIDA POR 4-72</t>
  </si>
  <si>
    <t>A-02-02-02-006-008</t>
  </si>
  <si>
    <t>PRESTAR LOS SERVICIOS PROFESIONALES PARA LA APLICACIÓN DE LOS CRITERIOS ARCHIVÍSTICOS ESTABLECIDOS EN LA LEY GENERAL DE ARCHIVOS PARA LA GESTIÓN DOCUMENTAL DEL INSTITUTO CARO Y CUERVO.</t>
  </si>
  <si>
    <t>A-02-02-02-008-004</t>
  </si>
  <si>
    <t>ADQUISICIÓN SOFTWARE GESTIÓN DOCUMENTAL PARA RADICACIÓN DE CORRESPONDENCIA FASE 1</t>
  </si>
  <si>
    <t>A-02-01-01-006-002</t>
  </si>
  <si>
    <t>ADQUISICIÓN SISTEMA DE ALARMA EN CASO DE INCENDIOS DEPOSITOS DE ARCHIVO SEDE YERBABUENA Y CASA DE CUERVO</t>
  </si>
  <si>
    <t>A-02-02-01-004-006</t>
  </si>
  <si>
    <t>A-02-02-02-008-007</t>
  </si>
  <si>
    <t>ADQUISICIÓN DE CINTAS PARA IMPRESORA DE CODIGOS DE BARRA</t>
  </si>
  <si>
    <t>ADQUISICIÓN DE ESCANER FUJITSU FI7260 PARA SEDE YERBABUENA</t>
  </si>
  <si>
    <t>A-02-01-01-004-005</t>
  </si>
  <si>
    <t>MANTENIMIENTO Y CONSERVACIÓN DE LAS SEDES DEL INSTITUTO CARO Y CUERVO</t>
  </si>
  <si>
    <t>GARANTIZAR EL PAGO DE SERVICIO DE ALCANTARILLADO DE LAS SEDES DEL INSTITUTO CARO Y CUERVO.</t>
  </si>
  <si>
    <t>A-02-02-02-006-009</t>
  </si>
  <si>
    <t>MARÍA DEL ROSARIO BARROS PIMIENTA / JAVIER MAURICIO VARGAS LÓPEZ / AURIS MARGARITA MENDOZA URECHE</t>
  </si>
  <si>
    <t>rosario.barros@caroycuervo.gov.co/javier.vargas@caroycuervo.gov.co/auris.mendoza@caroycuervo.gov.co</t>
  </si>
  <si>
    <t>GARANTIZAR EL PAGO DE SERVICIO DE RECOLECCIÓN DE BASURA DE LAS SEDES DEL INSTITUTO CARO Y CUERVO.</t>
  </si>
  <si>
    <t>A-02-02-02-009-004</t>
  </si>
  <si>
    <t>GARANTIZAR EL PAGO DE SERVICIO DE ENERGÍA DE LAS SEDES DEL INSTITUTO CARO Y CUERVO.</t>
  </si>
  <si>
    <t>GARANTIZAR EL PAGO DE SERVICIO DE TELEFONÍA MÓVIL DE LAS SEDES DEL INSTITUTO CARO Y CUERVO.</t>
  </si>
  <si>
    <t>GARANTIZAR EL PAGO DE SERVICIO DE TELEFÓNICO DE LAS SEDES DEL INSTITUTO CARO Y CUERVO.</t>
  </si>
  <si>
    <t>MOVILIDAD Y DESPLAZAMIENTO DE LOS SERVIDORES PÚBLICOS DEL INSTITUTO CARO Y CUERVO</t>
  </si>
  <si>
    <t>CONTRATO DE TRANSPORTE DE 2021 (ADICIONADO CON VF)</t>
  </si>
  <si>
    <t>A-02-02-02-006-004</t>
  </si>
  <si>
    <t>UT 4T</t>
  </si>
  <si>
    <t>PRESTACIÓN DE SERVICIO DE TRANSPORTE TERRESTRE DE IDA Y REGRESO PARA LOS ESTUDIANTES, FUNCIONARIOS, CONTRATISTAS DIRECTOS E INDIRECTOS QUE PRESTAN SERVICIO EN EL  INSTITUTO CARO Y CUERVO QUE TRABAJAN EN LA SEDE DE YERBABUENA.</t>
  </si>
  <si>
    <t>CONTRATO DE ASEO DE 2021 (ADICIONADO CON VF)</t>
  </si>
  <si>
    <t>PRESTAR  EL SERVICIO INTEGRAL DE ASEO Y CAFETERÍA EN LAS SEDES DEL INSTITUTO CARO Y CUERVO - CASA DE CUERVO ( CALLE 10 NO. 4-69 DE LA CIUDAD DE BOGOTÁ D.C), CASA RIVAS SACCONI, (CALLE 10 NO. 4-89) Y SEDE HACIENDA YERBABUENA, (AUTOPISTA NORTE, KILÓMETRO 9 + 300 METROS MUNICIPIO DE CHÍA CUNDINAMARCA) </t>
  </si>
  <si>
    <t>CONTRATAR LOS SEGUROS QUE AMPAREN LOS INTERESES PATRIMONIALES Y FUTUROS, ASÍ COMO LOS BIENES DEL INSTITUTO CARO Y CUERVO, QUE ESTÉN BAJO SU RESPONSABILIDAD Y CUSTODIA Y AQUELLOS QUE SEAN ADQUIRIDOS PARA DESARROLLAR LAS FUNCIONES INHERENTES A SU ACTIVIDAD Y CUALQUIER OTRA PÓLIZA DE SEGUROS QUE REQUIERA LA ENTIDAD EN EL DESARROLLO DE SU ACTIVIDAD.</t>
  </si>
  <si>
    <t>LICITACIÓN PÚBLICA</t>
  </si>
  <si>
    <t>A-02-02-02-007-001</t>
  </si>
  <si>
    <t>MAPFRE</t>
  </si>
  <si>
    <t>78181505; 25191700; 78181500</t>
  </si>
  <si>
    <t>CONTRATAR EL MANTENIMIENTO DE VEHÍCULOS DEL PARQUE AUTOMOTOR DEL ICC</t>
  </si>
  <si>
    <t>MARÍA DEL ROSARIO BARROS PIMIENTA / JAVIER MAURICIO VARGAS LÓPEZ</t>
  </si>
  <si>
    <t>CONTRATO DE VIGILANCIA DE 2021 (ADICIONADO CON VF)</t>
  </si>
  <si>
    <t>MARÍA DEL ROSARIO BARROS PIMIENTA / CARLOS SANCHEZ ARIZA / AURIS MARGARITA MENDOZA URECHE</t>
  </si>
  <si>
    <t>TOP GUARD</t>
  </si>
  <si>
    <t>PRESTAR EL SERVICIO DE VIGILANCIA Y SEGURIDAD PARA LAS INSTALACIONES Y BIENES DEL INSTITUTO CARO Y CUERVO, UBICADAS EN LAS SEDES: CASA DE CUERVO, CALLE 10 NO. 4 - 69; CASA RIVAS SACCONI, CALLE 10 NO. 4 - 87 (CARRERA 5 NO. 9 – 62) DE BOGOTÁ D.C Y HACIENDA YERBABUENA, UBICADA EN EL KILÓMETRO 9 MÁS 300 METROS DE LA AUTOPISTA NORTE, VÍA SOPÓ, EN EL MUNICIPIO DE CHÍA, CUNDINAMARCA. - ADQUISICIÓN DE CÁMARA DE SEGURIDAD CON SENSOR PARA INSTALAR EN LA LIBRERÍA YERBABUENA</t>
  </si>
  <si>
    <t>CONTRATACIÓN PARA PRESTAR LOS SERVICIOS PROFESIONALES COMO ARQUITECTO PARA APOYAR A LA SUBDIRECCIÓN ADMINISTRATIVA Y FINANCIERA EN LAS DIFERENTES ETAPAS DE LOS PROYECTOS RELACIONADOS CON LA INFRAESTRUCTURA DEL INSTITUTO CARO Y CUERVO Y EL PEMP DE LA HACIENDA YERBABUENA.</t>
  </si>
  <si>
    <t>MARÍA DEL ROSARIO BARROS PIMIENTA</t>
  </si>
  <si>
    <t>TRABAJOS DE MANTENIMIENTO GENERAL Y PUNTUAL DE LAS CUBIERTAS PARA PREVENIR Y CORREGIR FILTRACIONES DE AGUAS LLUVIAS EN LAS CUBIERTAS Y LAS REDES DE CONDUCCIÓN DE AGUAS LLUVIAS, E IMPLEMETACIÓN DE REDES DE RECOLECCIÓN DE AGUAS LLUVIAS EN EL EDIFICIO DE LA IMPRENTA QUE ACTUALMENTE NO CUENTA CON CANALES Y BAJANTES</t>
  </si>
  <si>
    <t>A-02-02-01-003-006</t>
  </si>
  <si>
    <t>A-02-02-02-005-004</t>
  </si>
  <si>
    <t>CUMPLIMIENTO DISPOSICIONES NORMATIVAS AMBIENTALES - PLAN INSTITUCIONAL DE GESTIÓN AMBIENTAL (PIGA)</t>
  </si>
  <si>
    <t>CONSTRUCCIÓN DE PRIMERA ETAPA DE AGUA RESIDUAL CONFORME A DISEÑOS ELABORADOS EN 2019</t>
  </si>
  <si>
    <t>A-02-01-01-004-003</t>
  </si>
  <si>
    <t>A-02-01-01-004-006</t>
  </si>
  <si>
    <t>COMPRAVENTA DE ELEMENTOS DE FERRETERÍA Y BOMBILLERÍA, PARA LAS SEDES DEL INSTITUTO CARO Y CUERVO</t>
  </si>
  <si>
    <t>A-02-02-01-004-002</t>
  </si>
  <si>
    <t>COMPRAVENTA DE ÚTILES, ELEMENTOS  Y DE OFICINA, PARA LAS DEPENDENCIAS DEL INSTITUTO CARO Y CUERVO</t>
  </si>
  <si>
    <t>A-02-02-01-003-008</t>
  </si>
  <si>
    <t>MANTENIMIENTO GENERAL DE PINTURA FACHADAS EXTERIORES CASAS CUERVO RIVAS SACCONI Y EDIFICIO NUEVO</t>
  </si>
  <si>
    <t>A-02-02-01-003-005</t>
  </si>
  <si>
    <t>RECOLECCIÓN Y DISPOSICIÓN FINAL DE LOS RESIDUOS PELIGROSOS GENERADOS POR LAS DOS SEDES</t>
  </si>
  <si>
    <t xml:space="preserve">ADECUACIÓN DE CUARTO DE ALMACENAMIENTO DE RESIDUOS PELIGROSOS SEDE YERBABUENA </t>
  </si>
  <si>
    <t>TRAS LA EJECUCIÓN DE LA PRIMERA FASE DE LA IMPLEMENTACIÓN DEL AREA PILOTO DE RESTAURACIÓN ECOLÓGICA, SE PROPONE DAR INCIO A UNA SIGUIENTE ETAPA CONSISTENTE EN MANTENIMIENTO, OPERACIÓN E INVESTIGACIÓN. (BUSCAR CONVENIO CON UNIVERSIDADES) - LOS APORTES DE LA U DEBEN SER EN DINERO</t>
  </si>
  <si>
    <t>A-02-02-02-008-001</t>
  </si>
  <si>
    <t>PRESTAR EL SERVICIO DE MANTENIMIENTO PREVENTIVO Y CORRECTIVO, INCLUIDO EL SUMINISTRO DE INSUMOS Y MANO DE OBRA DE LOS TRACTORES, MOTOSIERRA Y LA CORTAMALEZA, DE PROPIEDAD DEL INSTITUTO CARO Y CUERVO.</t>
  </si>
  <si>
    <t>MARÍA DEL ROSARIO BARROS PIMIENTA / CARLOS SANCHEZ/ AURIS MARGARITA MENDOZA URECHE</t>
  </si>
  <si>
    <t>IMPLEMENTACIÓN DEL PLAN DE USO EFICIENTE Y AHORRO DEL AGUA</t>
  </si>
  <si>
    <t>PUBLICACIÓN PLANTAS PALABRAS VERSION III</t>
  </si>
  <si>
    <t>A-02-02-02-008-009</t>
  </si>
  <si>
    <t>COMPRA Y PRESTACIÓN DEL SERVICIO DE REVISIÓN, RECARGA Y MANTENIMIENTO PARA LOS EXTINTORES DE LAS DOS SEDES Y AUTOMOTORES DEL INSTITUTO CARO Y CUERVO.</t>
  </si>
  <si>
    <t>REALIZAR LA CARACTERIZACIÓN DEL AGUA RESIDUAL TRATADA DE LA SEDE HACIENDA YERBABUENA</t>
  </si>
  <si>
    <t>SEPTIEMBRE</t>
  </si>
  <si>
    <t>CONTRATACIÓN PARA LA PRESTACIÓN DEL SERVICIO DE MANTENIMIENTO INTEGRAL PREVENTIVO Y CORRECTIVO CON INCLUSIÓN DE REPUESTOS Y ACCESORIOS E INSUMOS DEL ASCENSOR MARCA SCHINDER ANDINO DEL INSTITUTO CARO Y CUERVO SEDE CASA RIVAS</t>
  </si>
  <si>
    <t xml:space="preserve">78181701; 15101506 </t>
  </si>
  <si>
    <t>SUMINISTRO COMBUSTIBLE PARA EL PARQUE AUTOMOTOR DEL INSTITUTO CARO Y CUERVO</t>
  </si>
  <si>
    <t>A-02-02-01-003-003</t>
  </si>
  <si>
    <t>ADECUACIÓN DE LAS INSTALACIONES DEL INSTITUTO CARO Y CUERVO</t>
  </si>
  <si>
    <t>SUMINISTRO E INSTALACIÓN DE PLANTA ELÉCTRICA Y ACTUALIZACIÓN DE TABLEROS, CABLEADO, E INFRAESTRUCTURA PARA DAR CUMPLIMIENTO A LA NORMA TÉCNICA VIGENTE.</t>
  </si>
  <si>
    <t>SERVICIOS DE CANAL DE INTERNET PARA EL INSTITUTO CARO Y CUERVO</t>
  </si>
  <si>
    <t>LIDA VIVIANA PINEDA/MARÍA DEL ROSARIO BARROS PIMIENTA</t>
  </si>
  <si>
    <t>lida.pineda@caroycuervo.gov.co , rosario.barros@caroycuervo.gov.co</t>
  </si>
  <si>
    <t>SERVICIOS DE LICENCIA LACNIC PARA GARANTIZAR EL DIRECTORIO IP DEL INSTITUTO</t>
  </si>
  <si>
    <t>NOVIEMBRE</t>
  </si>
  <si>
    <t>ACTO ADMINISTRATIVO</t>
  </si>
  <si>
    <t>CAJA MENOR</t>
  </si>
  <si>
    <t>A-02-02-01-002-001</t>
  </si>
  <si>
    <t>CLAUDIA DEL CARMEN VERA</t>
  </si>
  <si>
    <t>claudia.vera@caroycuervo.gov.co</t>
  </si>
  <si>
    <t>A-02-02-01-002-002</t>
  </si>
  <si>
    <t>A-02-02-01-002-003</t>
  </si>
  <si>
    <t>A-02-02-01-004-005</t>
  </si>
  <si>
    <t>80121704; 80111607</t>
  </si>
  <si>
    <t>DIMENSION JURÍDICA DEL INSTITUTO CARO Y CUERVO</t>
  </si>
  <si>
    <t>CONTRATACIÓN PARA PRESTAR SUS SERVICIOS PROFESIONALES PARA LA DEFENSA JUDICIAL EN LOS PROCESOS EN LOS CUALES LA ENTIDAD SEA PARTE Y ASESORAR JURÍDICA A LAS DISTINTAS ÁREAS MISIONALES Y ADMINISTRATIVAS DEL INSTITUTO CARO Y CUERVO.</t>
  </si>
  <si>
    <t>CARMÉN MILLÁN</t>
  </si>
  <si>
    <t>carmen.millan@caroycuervo.gov.co</t>
  </si>
  <si>
    <t>CONSEJEROS DEL CONSEJO DIRECTIVO</t>
  </si>
  <si>
    <t>DICIEMBRE</t>
  </si>
  <si>
    <t>GASTOS BANCARIOS Y MONETIZACIÓN DE INGRESOS EN LA VIGENCIA 2022</t>
  </si>
  <si>
    <t>ARRENDAMIENTO DE DATAFONO</t>
  </si>
  <si>
    <t>A-02-02-02-007-003</t>
  </si>
  <si>
    <t>GASTOS BANCARIOS POR EMBARGOS EN LA NÓMINA</t>
  </si>
  <si>
    <t>PAGO ANUAL DE SEMAFORIZACIÓN DE PARQUE AUTOMOTOR DEL INSTITUTO CARO Y CUERVO</t>
  </si>
  <si>
    <t>A-08-03</t>
  </si>
  <si>
    <t>TASA Y DERECHO ADMINISTRATIVO</t>
  </si>
  <si>
    <t>CONTRATACIÓN DE LA RECARGA AL SISTEMA PASE YA PARA EL PASO DEL PEAJE  DE  LOS VEHÍCULOS CON QUE CUENTA EL PARQUE AUTOMOTOR DEL INSTITUTO CARO Y CUERVO,  QUE SE DIRIJAN A LA SEDE DE YERBABUENA.</t>
  </si>
  <si>
    <t>PAGO CONCESIÓN DE AGUA SUPERFICIALES LA CHORRERA</t>
  </si>
  <si>
    <t>N/A</t>
  </si>
  <si>
    <t>PAGO DE IMPUESTO DE INDUSTRIA Y COMERCIO (ICA)</t>
  </si>
  <si>
    <t>A-08-01-02-003</t>
  </si>
  <si>
    <t>IMPUESTOS</t>
  </si>
  <si>
    <t>PAGO DE IMPUESTO</t>
  </si>
  <si>
    <t>A-08-01-02-001</t>
  </si>
  <si>
    <t>CUOTA DE AUDITAJE</t>
  </si>
  <si>
    <t>A-08-04-01</t>
  </si>
  <si>
    <t>El valor real proyectado de cuota auditaje $ 47.580.000</t>
  </si>
  <si>
    <t>TASAS Y DERECHOS ADMINISTRATIVOS (CAJA MENOR)</t>
  </si>
  <si>
    <t>SENTENCIAS</t>
  </si>
  <si>
    <t>NO APLICA</t>
  </si>
  <si>
    <t>-</t>
  </si>
  <si>
    <t>A-03-10</t>
  </si>
  <si>
    <t>MULTAS, SANCIONES E INTERESES</t>
  </si>
  <si>
    <t>A-08-05-01-003</t>
  </si>
  <si>
    <t>A-08-05-02-001</t>
  </si>
  <si>
    <t>Suma de VALOR TOTAL ESTIMADO</t>
  </si>
  <si>
    <t>VALOR TOTAL ESTIMADO</t>
  </si>
  <si>
    <t>GASTOS DE PERSONAL (99 CARGOS)</t>
  </si>
  <si>
    <t>GASTOS DE PERSONAL</t>
  </si>
  <si>
    <t>INCAPACIDADES Y LICENCIAS DE MATERNIDAD (99 CARGOS)</t>
  </si>
  <si>
    <t>TRANSFERENCIAS CORRIENTES</t>
  </si>
  <si>
    <t>PAGO CONCESIÓN DE AGUA SUPERFICIALES LA CHORRERA (PREGUNTAR SI VA EN EL PLAN)</t>
  </si>
  <si>
    <t>El valor real proyectado de impuestos es $64.534.645</t>
  </si>
  <si>
    <t>DIMENSIÓN JURIDICA DEL INSTITUTO CARO Y CUERVO</t>
  </si>
  <si>
    <t>SUBDIRECCIÓN ADMINISTRATIVA Y FINANCIERA</t>
  </si>
  <si>
    <t>PRESTAR LOS SERVICIOS PROFESIONALES PARA APOYAR LA GESTIÓN DE LA SUBDIRECCIÓN ADMINISTRATIVA Y FINANCIERA.</t>
  </si>
  <si>
    <t>PRESTAR SERVICIOS PROFESIONALES COMO CONTADOR PÚBLICO EN EL INSTITUTO CARO Y CUERVO PARA ASESORAR LA ACTUALIZACIÓN Y MANTENIMIENTO DE LOS BIENES DE INVENTARIOS, PROPIEDAD, PLANTA Y EQUIPO, BIENES DE INTERES CULTURAL Y BIENES PATRIMONIALES DEL INSTITUTO CARO Y CUERVO, APOYANDO AL CONTADOR DE LA ENTIDAD EN EL ADECUADO RECONOCIMIENTO CONTABLE EN SIIF NACIÓN Y EL ERP WEB SAFI. LA NECESIDAD NACE DE LOS PLANES DE MEJORAMIENTO SUSCRITOS POR LA ENTIDAD</t>
  </si>
  <si>
    <t>BIENESTAR SOCIAL DE FUNCIONARIOS DE PLANTA DEL INSTITUTO CARO Y CUERVO</t>
  </si>
  <si>
    <t>CAPACITACIÓN DE FUNCIONARIOS DEL INSTITUTO CARO Y CUERVO</t>
  </si>
  <si>
    <t>3 ENTREGAS DE DOTACIÓN DE LEY PARA LOS FUNCIONARIOS QUE TIENEN DERECHO</t>
  </si>
  <si>
    <t>CONTRATACIÓN PARA LA PRESTACIÓN DE SERVICIOS PROFESIONALES PARA EL DESARROLLO DE ACTIVIDADES PROPUESTAS EN EL PLAN ESTRATÉGICO DEL TALENTO HUMANO DEL INSTITUTO CARO Y CUERVO</t>
  </si>
  <si>
    <t xml:space="preserve">43231505; 43231508; 43231600; 43231604 </t>
  </si>
  <si>
    <t>SERVICIOS DE EXAMENES MEDICOS DE INGRESO Y EGRESO DE FUNCIONARIOS / MEDICIÓN DE CLIMA LABORAL</t>
  </si>
  <si>
    <t>CONTRATACIÓN DE OPERADOR POSTAL</t>
  </si>
  <si>
    <t xml:space="preserve">CONTRATACIÓN PRESTACIÓN DE SERVICIOS PROFESIONALES ARQUITECTO </t>
  </si>
  <si>
    <t>ABRIL</t>
  </si>
  <si>
    <t>MANTENIMIENTO DE ASCENSOR</t>
  </si>
  <si>
    <t>HEILIN GUARNIZO/MARÍA DEL ROSARIO BARROS PIMIENTA</t>
  </si>
  <si>
    <t>CONTRATACIÓN DE UN PROFESIONAL EN DERECHO PARA LA PRESTACIÓN DE SERVICIOS PROFESIONALES COMO ASESOR JURÍDICO DEL INSTITUTO CARO Y CUERVO</t>
  </si>
  <si>
    <t/>
  </si>
  <si>
    <t>AURIS MENDOZA</t>
  </si>
  <si>
    <t>JULIET PINZÓN</t>
  </si>
  <si>
    <t>VALOR 2022</t>
  </si>
  <si>
    <t>VALOR SOLICITADO V2</t>
  </si>
  <si>
    <t xml:space="preserve">DIFERENCIA </t>
  </si>
  <si>
    <t>PAA SOLICITADO VERSIÓN 1</t>
  </si>
  <si>
    <t>DIFERENCIA  V1 Y V2 DEL PLAN</t>
  </si>
  <si>
    <t>SUB. ACADÉMICA</t>
  </si>
  <si>
    <t>GRUPO DE INVESTIGACIÓN</t>
  </si>
  <si>
    <t>SA - EQUIPO DE COMUNICACIONES Y PRENSA</t>
  </si>
  <si>
    <t>SA - MUSEOS</t>
  </si>
  <si>
    <t>SUB. ADMINISTRATIVA Y FINANCIERA</t>
  </si>
  <si>
    <t>GRUPO DE RECURSOS FÍSICOS</t>
  </si>
  <si>
    <t>GRUPO DE RECURSOS FÍSICOS (PEMP)</t>
  </si>
  <si>
    <t>DIRECCIÓN</t>
  </si>
  <si>
    <t>TOTAL GENERAL</t>
  </si>
  <si>
    <t>PRESUPUESTO ASIGNADO SEGUN DECRETO 1793 DE 2021</t>
  </si>
  <si>
    <t>AREA</t>
  </si>
  <si>
    <t>¿CUANDO SE MODIFICÓ?</t>
  </si>
  <si>
    <t>OBSERVACIÓN</t>
  </si>
  <si>
    <t>SUGERIDOS A RETIRAR</t>
  </si>
  <si>
    <t>FSAB</t>
  </si>
  <si>
    <t>CORREO LUZ ELENA 03/12/21</t>
  </si>
  <si>
    <t>Atendiendo la necesidad de revisar el PAA2022, adjuntamos dicho plan ajustado el cual se trabajó con decana.
 Consideramos que una solución puede ser que las casillas en color gris sean pagos con recursos que ingresen al convenio o a recursos propios por el ICC, por algunos de los diplomados de educación continua asociados a las maestrías y dictados y/o coordinados por los docentes de las mismas, como el diplomado de ELE virtual, Edición Académica, Corrección de estilo y corrección de estilo cuidados de texto de la maestría en estudios editoriales.
 Las casillas que se encuentran en color rojo, son las que podríamos eliminar.
 Igualmente, se debe tener en cuenta que $ 439.554.250 corresponden a gastos por concepto de investigación y $88.929.455 a educación continua, por parte de los docentes de la facultad.
 Finalmente, como se informó en la reunión del 2 de diciembre, nuestra diferencia corresponde la aprobación del proyecto de investigación de las profesoras Fernanda Trías y Angélica Meza, al igual que el proyecto de virtualización para registro calificado único de la maestría en ELE.</t>
  </si>
  <si>
    <t>APOYO AL CONVENIO FILA 236</t>
  </si>
  <si>
    <t>SAC</t>
  </si>
  <si>
    <t>CORREO VIVIANA MOGOLLÓN 09/12/21</t>
  </si>
  <si>
    <t xml:space="preserve">Estimado Cristian:
Espero te encuentres bien.
Adjunto envío PAA de SAC y las áreas en mención con ajustes solicitados en la última reunión. Hay una columna denominada "comentarios diciembre 6" y que hacen referencia a los ajustes realizados. Estaré atenta si presentas alguna duda o inquietud con lo consignado en el formato (justificaciones, colores, etc).
</t>
  </si>
  <si>
    <t>contrato Asesora de comunicaciones no debe tener incremento
AUNQUE SE ELIMINA UN CONTRATO DEL EQUIPO
FILA 85</t>
  </si>
  <si>
    <t>Adquisiciones reducidas en gris filas 128, 129, 148 y 149</t>
  </si>
  <si>
    <t>SAC-EDUCACIÓN CONTINUA</t>
  </si>
  <si>
    <t>CORREO ANDREA BAQUERO 07/12/21</t>
  </si>
  <si>
    <t>Te remito el formato de plan de adquisiciones 2022 de Educación Continua, con los ajustes establecidos en nuestra reunión. 
Un saludo cordial, 
Andrea</t>
  </si>
  <si>
    <t>CORREO MARIANA JARAMILLO 07/12/21</t>
  </si>
  <si>
    <t>Cordial Saludo: 
De acuerdo a la instrucción dada por planeación adjuntamos en este correo el plan de adquisiciones 2022 de investigación que incluye en la columna N y con los colores indicados por uds, los ajustes en los valores.  Amarillo para los cambios en valores, gris para las adquisiciones que no van y verde para adquisiciones no priorizadas.
Para cualquier duda o pregunta quedo atenta Gracias por su colaboración en este proceso</t>
  </si>
  <si>
    <t>CORREO JULIO BERNAL  07/12/21</t>
  </si>
  <si>
    <t>ordial saludo
Envío Plan de adquisiciones de Investigación para 2022 con el tope. Los montos ajustados están en la Columna N.</t>
  </si>
  <si>
    <t>REUNIÓN LUZ ELENA - 14/12/2021</t>
  </si>
  <si>
    <t>Fernanda Trias: Disminución 8'651.360
Eduardo Gomez: Se elimina debido a que va por Investigación $6.822.159,68
Patricia Reyes: Se reduce un valor $19'722.520
Total reducción: 35'196.039</t>
  </si>
  <si>
    <t>REUNIÓN 15/12/2021</t>
  </si>
  <si>
    <t>FILA 207 curso Wayuunaiki reducido y lista de espera reunión 15/12/21</t>
  </si>
  <si>
    <t>FILA 180: NUEVO ÍTEM: CONTRATACIÓN DOCENTE DE DOS CURSOS EXTENSIÓN: Diagramación básica para proyectos editoriales en los periodos intersemestral y 2022-2</t>
  </si>
  <si>
    <t>Reducida y entra en lista de espera para 2022 financiado por Educación continua</t>
  </si>
  <si>
    <t>BIBLIOTECA</t>
  </si>
  <si>
    <t>FILA 60 PROQUEST, SE REDUCE NECESIDAD, TENIENDO EN CUENTA QUE DEBE SALIR EN SEGUNDO SEMESTRE PRODUCTO DE POSIBLES LIBERACIONES</t>
  </si>
  <si>
    <t>FILA 115 CONTRATACIÓN  SERVICIOS PROFESIONALES PARA APOYAR LA EDICIÓN Y CORRECCIÓN DE UN PROYECTO EDITORIAL DEL ICC SUJETO A POSIBLES LIBERACIONES PARA SEGUNDO SEMESTRE</t>
  </si>
  <si>
    <t>FILA 156 REDUCIDA SE REALIZARÁ A PARTIR DEL RECAUDO POR CONVENIO (REUNIÓN 15/12/21</t>
  </si>
  <si>
    <t>FILA 157 REDUCIDA SE REALIZARÁ A PARTIR DEL RECAUDO POR CONVENIO (REUNIÓN 15/12/21</t>
  </si>
  <si>
    <t>FILA 158 REDUCIDA SE REALIZARÁ A PARTIR DEL RECAUDO POR CONVENIO (REUNIÓN 15/12/21</t>
  </si>
  <si>
    <t>FILA 159 REDUCIDA SE REALIZARÁ A PARTIR DEL RECAUDO POR CONVENIO (REUNIÓN 15/12/21</t>
  </si>
  <si>
    <t>FILA 160 REDUCIDA SE REALIZARÁ A PARTIR DEL RECAUDO POR CONVENIO (REUNIÓN 15/12/21</t>
  </si>
  <si>
    <t>FILA 161 REDUCIDA SE REALIZARÁ A PARTIR DEL RECAUDO POR CONVENIO (REUNIÓN 15/12/21</t>
  </si>
  <si>
    <t>FILA 162 REDUCIDA SE REALIZARÁ A PARTIR DEL RECAUDO POR CONVENIO (REUNIÓN 15/12/21</t>
  </si>
  <si>
    <t>FILA 163 REDUCIDA SE REALIZARÁ A PARTIR DEL RECAUDO POR CONVENIO (REUNIÓN 15/12/21</t>
  </si>
  <si>
    <t>FILA 164 REDUCIDA SE REALIZARÁ A PARTIR DEL RECAUDO POR CONVENIO (REUNIÓN 15/12/21</t>
  </si>
  <si>
    <t>FILA 165 REDUCIDA SE REALIZARÁ A PARTIR DEL RECAUDO POR CONVENIO (REUNIÓN 15/12/21</t>
  </si>
  <si>
    <t>REUNIÓN 17/12/2021</t>
  </si>
  <si>
    <t>FILA 236 REDUCIDA ESTA NECESIDAD DE APOYO ADMINISTRATIVO PARA EL CONVENIO DE FSAB</t>
  </si>
  <si>
    <t>FILA 220 REDUCIDA (SE PODRÁ PLANEAR PARA SURTIR ESTA NECESIDAD A TRAVÉS DEL CONVENIO) PROYECTO DE VIRTUALIZACIÓN INICIARÍA DEARROLLO EN SEGUNDO SEMESTRE DE 2022 UNICAMENTE POR UN VALOR TOTAL DE 55 MILLONES</t>
  </si>
  <si>
    <t>FILA 221 REDUCIDA (SE PODRÁ PLANEAR PARA SURTIR ESTA NECESIDAD A TRAVÉS DEL CONVENIO) PROYECTO DE VIRTUALIZACIÓN INICIARÍA DEARROLLO EN SEGUNDO SEMESTRE DE 2022 UNICAMENTE POR UN VALOR TOTAL DE 55 MILLONES</t>
  </si>
  <si>
    <t>FILA 222 REDUCIDA (SE PODRÁ PLANEAR PARA SURTIR ESTA NECESIDAD A TRAVÉS DEL CONVENIO) PROYECTO DE VIRTUALIZACIÓN INICIARÍA DEARROLLO EN SEGUNDO SEMESTRE DE 2022 UNICAMENTE POR UN VALOR TOTAL DE 55 MILLONES</t>
  </si>
  <si>
    <t>FILA 223 REDUCIDA (SE PODRÁ PLANEAR PARA SURTIR ESTA NECESIDAD A TRAVÉS DEL CONVENIO) PROYECTO DE VIRTUALIZACIÓN INICIARÍA DEARROLLO EN SEGUNDO SEMESTRE DE 2022 UNICAMENTE POR UN VALOR TOTAL DE 55 MILLONES</t>
  </si>
  <si>
    <t>FILA 224 REDUCIDA (SE PODRÁ PLANEAR PARA SURTIR ESTA NECESIDAD A TRAVÉS DEL CONVENIO) PROYECTO DE VIRTUALIZACIÓN INICIARÍA DEARROLLO EN SEGUNDO SEMESTRE DE 2022 UNICAMENTE POR UN VALOR TOTAL DE 55 MILLONES</t>
  </si>
  <si>
    <t>FILA 225 REDUCIDA (SE PODRÁ PLANEAR PARA SURTIR ESTA NECESIDAD A TRAVÉS DEL CONVENIO) PROYECTO DE VIRTUALIZACIÓN INICIARÍA DEARROLLO EN SEGUNDO SEMESTRE DE 2022 UNICAMENTE POR UN VALOR TOTAL DE 55 MILLONES</t>
  </si>
  <si>
    <t>FILA 226 REDUCIDA (SE PODRÁ PLANEAR PARA SURTIR ESTA NECESIDAD A TRAVÉS DEL CONVENIO) PROYECTO DE VIRTUALIZACIÓN INICIARÍA DEARROLLO EN SEGUNDO SEMESTRE DE 2022 UNICAMENTE POR UN VALOR TOTAL DE 55 MILLONES</t>
  </si>
  <si>
    <t>DIRECCIÓN BIBLIOTECA</t>
  </si>
  <si>
    <t>FILA 69 CORRECCIÓN DIGITAL DE LA CINTA CON LA VOZ DE RUFINO JOSÉ CUERVO  REDUCIDA, PUEDE GESTIONARSE CON UNA PERSONA DE CANADÁ</t>
  </si>
  <si>
    <t>FILA 217 ANGÉLICA MEZA NO SE APRUEBA PRESUPUESTO PARA INVESTIGACIÓN ESTA ACTIVIDAD SE RECORTA EN REUNIÓN DEL 17 DE DICIEMBRE CON DIRECCION, SAC, FSAB Y SAF</t>
  </si>
  <si>
    <t>SAC EDUCACIÓN CONTINUA</t>
  </si>
  <si>
    <t>CORREO ANDREA BAQUERO</t>
  </si>
  <si>
    <t>FILA 3 SE REDUCE CONTRATACIÓN DE SERVICIOS PROFESIONALES PARA APOYAR LA FORMACIÓN VIRTUAL DEL ICC  (CORREO ELECTRÓNICO DEL 20/12/2021)</t>
  </si>
  <si>
    <t>FILA 4 SE REDUCE DOCENTE CURSO DE ESPAÑOL PARA EXTRANJEROS (420 HORAS POR 5 CURSOS) (MELE) (CORREO ELECTRÓNICO DEL 20/12/2021)</t>
  </si>
  <si>
    <t>FILA 6 SE REDUCE COORDINACIÓN EDUCACIÓN CONTINUA TOTAL: ELE presencial y virtual, FSAB Subdirección académica, cursos extensión (CORREO ELECTRÓNICO DEL 20/12/2021)</t>
  </si>
  <si>
    <t>FILA 23 SE REDUCE EN TOTALIDAD TUTORES VIRTUALES DIPLOMADO EN LENGUAS Y CULTURAS NATIVAS EN COLOMBIA (2 TUTORES PARA 1 COHORTE) (CORREO ELECTRÓNICO DEL 20/12/2021)</t>
  </si>
  <si>
    <t>FILA 24 SE REDUCE EN TOTALIDAD TUTORES VIRTUALES  DIPLOMADO EN ARGUMENTACIÓN PARA LA CIUDADANÍA (2 TUTORES PARA 1 COHORTE) (CORREO ELECTRÓNICO DEL 20/12/2021)</t>
  </si>
  <si>
    <t>PLANEACION</t>
  </si>
  <si>
    <t xml:space="preserve">AJUSTES CRISTIAN VELANDIA </t>
  </si>
  <si>
    <t>FILA 238 AJUSTE A TIEMPO DE CONTRATACION EN 10 MESES</t>
  </si>
  <si>
    <t>REUNIÓN DIRECCIÓN GENERAL</t>
  </si>
  <si>
    <t>FILA 241 CONTRATO A 7 MESES</t>
  </si>
  <si>
    <t>CONTRATO CLAUDIA HURTADO</t>
  </si>
  <si>
    <t xml:space="preserve">FILA 85 SE AJUSTA LA CONTRATACION A 8 MESES Y SE ESTIPULA PODER CONTRATAR </t>
  </si>
  <si>
    <t>CONTRATO CAMILO RODRIGUEZ</t>
  </si>
  <si>
    <t>FILA 240 SE AJUSTA EN TIEMPO A 10 MESES Y 10 DIAS SE ESTIPULA PRIORIZAR EL OTRO SI DE ESTE CONTRATO UNA VEZ LOGREMOS RECAUDAR RECURSOS</t>
  </si>
  <si>
    <t xml:space="preserve">FILA 241 SE AJUSTA EN TIEMPO </t>
  </si>
  <si>
    <t>CORREO ANDREA BAQUERO 21/12/2021</t>
  </si>
  <si>
    <t>Docente de cursos de español para extranjeros se redujo el valor $1'208.688.</t>
  </si>
  <si>
    <t>CORREO ANDREA BAQUERO 21/12/2022</t>
  </si>
  <si>
    <t>Docente diplomado ELE+ Coordinación extensión se aumentó el valor $1'208.688 y el tiempo de contrato 15 días.</t>
  </si>
  <si>
    <t>CORREO ANDREA BAQUERO 21/12/2023</t>
  </si>
  <si>
    <t>Profesor diplomado ELE remoto se redujo el valor $3'230.760 y el número de horas cambió de 60 a 30. </t>
  </si>
  <si>
    <t>Se incluye una adquisicion de educacion continua repetida por el valor restado en el ulitmo correo enviado a Planeación</t>
  </si>
  <si>
    <t>DESAGREGACIÓN INVERSIÓN 2021</t>
  </si>
  <si>
    <t>RUBRO</t>
  </si>
  <si>
    <t>META PGN</t>
  </si>
  <si>
    <t xml:space="preserve">DESCRIPCIÓN </t>
  </si>
  <si>
    <t xml:space="preserve">FUENTE </t>
  </si>
  <si>
    <t>REC</t>
  </si>
  <si>
    <t>BOGOTÁ</t>
  </si>
  <si>
    <t>CUNDINAMARCA</t>
  </si>
  <si>
    <t>INDICADOR 2021</t>
  </si>
  <si>
    <t>C-3301-1603-2</t>
  </si>
  <si>
    <t>INCREMENTO  DE RECURSOS FÍSICOS PARA EL APOYO ACADÉMICO Y MUSEAL DEL INSTITUTO CARO Y CUERVO  BOGOTÁ</t>
  </si>
  <si>
    <t>C-3301-1603-2-0-3301043</t>
  </si>
  <si>
    <t>MUSEOS ADECUADOS</t>
  </si>
  <si>
    <t>C-3301-1603-2-0-3301043-02</t>
  </si>
  <si>
    <t>C-3301-1603-2-0-3301085</t>
  </si>
  <si>
    <t>USUARIOS ATENDIDOS</t>
  </si>
  <si>
    <t>C-3301-1603-2-0-3301085-02</t>
  </si>
  <si>
    <t>C-3301-1603-2-0-3301098</t>
  </si>
  <si>
    <t>MATERIALES DE LECTURA</t>
  </si>
  <si>
    <t>SERVICIO DE ACCESO A MATERIALES DE LECTURA</t>
  </si>
  <si>
    <t>C-3301-1603-2-0-3301098-02</t>
  </si>
  <si>
    <t>C-3302-1603-2</t>
  </si>
  <si>
    <t>CONSOLIDACIÓN DE LAS FUNCIONES MISIONALES, FORMACIÓN, DOCENCIA Y APROPIACIÓN SOCIAL DEL CONOCIMIENTO, DEL INSTITUTO CARO Y CUERVO A NIVEL NACIONAL  BOGOTÁ, CHÍA</t>
  </si>
  <si>
    <t>C-3302-1603-2-0-3302001</t>
  </si>
  <si>
    <t>DOCUMENTOS DE INVESTIGACIÓN</t>
  </si>
  <si>
    <t>C-3302-1603-2-0-3302001-02</t>
  </si>
  <si>
    <t>C-3302-1603-2-0-3302002</t>
  </si>
  <si>
    <t>C-3302-1603-2-0-3302002-02</t>
  </si>
  <si>
    <t>C-3302-1603-2-0-3302004</t>
  </si>
  <si>
    <t>EXPOSICIONES REALIZADAS</t>
  </si>
  <si>
    <t>C-3302-1603-2-0-3302004-02</t>
  </si>
  <si>
    <t>C-3302-1603-2-0-3302066</t>
  </si>
  <si>
    <t>PERSONAS CAPACITADAS</t>
  </si>
  <si>
    <t>C-3302-1603-2-0-3302066-02</t>
  </si>
  <si>
    <t>C-3302-1603-2-0-3302067</t>
  </si>
  <si>
    <t>ALUMNOS MATRICULADOS</t>
  </si>
  <si>
    <t>C-3302-1603-2-0-3302067-02</t>
  </si>
  <si>
    <t>C-3302-1603-2-0-3302067-03</t>
  </si>
  <si>
    <t>TRANSFERENCIAS CORRIENTES - SERVICIOS DE EDUCACIÓN FORMAL DE POSGRADO</t>
  </si>
  <si>
    <t>C-3302-1603-2-0-3302068</t>
  </si>
  <si>
    <t>C-3302-1603-2-0-3302068-02</t>
  </si>
  <si>
    <t>HORAS DE RADIOS EMITIDAS</t>
  </si>
  <si>
    <t>C-3302-1603-2-0-3302069</t>
  </si>
  <si>
    <t>C-3302-1603-2-0-3302069-02</t>
  </si>
  <si>
    <t>C-3302-1603-2-0-3302070</t>
  </si>
  <si>
    <t>PUBLICACIONES REALIZADAS</t>
  </si>
  <si>
    <t>C-3302-1603-2-0-3302070-02</t>
  </si>
  <si>
    <t>C-3399-1603-4</t>
  </si>
  <si>
    <t>FORTALECIMIENTO DE LOS SISTEMAS DE GESTIÓN PARA LA ADECUACIÓN, PROTECCIÓN Y SALVAGUARDIA DEL PATRIMONIO CULTURAL DEL INSTITUTO CARO Y CUERVO   BOGOTÁ</t>
  </si>
  <si>
    <t>C-3399-1603-4-0-3399014</t>
  </si>
  <si>
    <t>SEDES CON REFORZAMIENTO ESTRUCTURAL</t>
  </si>
  <si>
    <t>C-3399-1603-4-0-3399014-02</t>
  </si>
  <si>
    <t>C-3399-1603-4-0-3399016</t>
  </si>
  <si>
    <t>C-3399-1603-4-0-3399016-02</t>
  </si>
  <si>
    <t>C-3399-1603-4-0-3399056</t>
  </si>
  <si>
    <t>DOCUMENTOS DE PLANEACIÓN</t>
  </si>
  <si>
    <t>C-3399-1603-4-0-3399056-02</t>
  </si>
  <si>
    <t>C-3399-1603-4-0-3399061</t>
  </si>
  <si>
    <t>SISTEMA DE GESTIÓN IMPLEMENTADO</t>
  </si>
  <si>
    <t>C-3399-1603-4-0-3399061-02</t>
  </si>
  <si>
    <t>SEDE CONSTRUIDA Y DOTADA</t>
  </si>
  <si>
    <t>DOCUMENTOS METODOLÓGICOS</t>
  </si>
  <si>
    <t>DOCUMENTOS DE LINEAMIENTOS TÉCNICOS REALIZADOS</t>
  </si>
  <si>
    <t>SISTEMA DE GESTIÓN DOCUMENTAL IMPOLEMENTADO</t>
  </si>
  <si>
    <t>Rubro</t>
  </si>
  <si>
    <t>Producto</t>
  </si>
  <si>
    <t>Nación</t>
  </si>
  <si>
    <t>Propios</t>
  </si>
  <si>
    <t>Actividades</t>
  </si>
  <si>
    <t>Servicios bibliotecarios</t>
  </si>
  <si>
    <t>Adquirir las herramientas tecnológicas para garantizar el funcionamiento de la biblioteca</t>
  </si>
  <si>
    <t>Adquirir servicios especializados en procesamiento técnico</t>
  </si>
  <si>
    <t>Servicio de acceso a materiales de lectura</t>
  </si>
  <si>
    <t>Adquirir material bibliográfico y hemerográfico para el adecuado funcionamiento de la biblioteca</t>
  </si>
  <si>
    <t>Realizar suscripciones a bases de datos especializadas</t>
  </si>
  <si>
    <t>Museos adecuados</t>
  </si>
  <si>
    <t>Adecuar salas museales y espacios de conservación de colecciones</t>
  </si>
  <si>
    <t>Preparar elementos estructurales para montajes</t>
  </si>
  <si>
    <t xml:space="preserve"> $                                  -  </t>
  </si>
  <si>
    <t xml:space="preserve"> Realizar estudios de autodiagnóstico y análisis de la infraestructura </t>
  </si>
  <si>
    <t xml:space="preserve"> Reparar, mantener y reforzar los elementos estructurales de las sedes </t>
  </si>
  <si>
    <t xml:space="preserve"> Reparar y modernizar redes eléctricas e hidrosanitarias del Instituto </t>
  </si>
  <si>
    <t xml:space="preserve"> Realizar mantenimiento a elementos no estructurales de las sedes </t>
  </si>
  <si>
    <t xml:space="preserve"> Mantener y restaurar el ecosistema vegetal de las sedes del Instituto </t>
  </si>
  <si>
    <t xml:space="preserve"> MANTENER Y RESTAURAR EL ECOSISTEMA VEGETAL DE LAS SEDES DEL INSTITUTO </t>
  </si>
  <si>
    <t xml:space="preserve"> Erradicar Fauna y Flora parásita de las sedes del Instituto </t>
  </si>
  <si>
    <t xml:space="preserve"> ERRADICAR FAUNA Y FLORA PARÁSITA DE LAS SEDES DEL INSTITUTO </t>
  </si>
  <si>
    <t xml:space="preserve"> Diseñar herramientas para orientar la planeación institucional </t>
  </si>
  <si>
    <t xml:space="preserve"> Diseñar herramientas para monitorear la planeación institucional </t>
  </si>
  <si>
    <t xml:space="preserve"> DISEÑAR HERRAMIENTAS PARA MONITOREAR LA PLANEACIÓN INSTITUCIONAL </t>
  </si>
  <si>
    <t xml:space="preserve"> Adaptar el Modelo Integrado de Planeación y Gestión al Instituto </t>
  </si>
  <si>
    <t>Realizar monitoreos y recomendaciones de los Sistemas de Gestión del Instituto</t>
  </si>
  <si>
    <t>REALIZAR MONITOREOS Y RECOMENDACIONES DE LOS SISTEMAS DE GESTIÓN DEL INSTITUTO</t>
  </si>
  <si>
    <t>ACTIVIDADES</t>
  </si>
  <si>
    <t>Diseñar, aprobar y ejecutar los proyectos de investigación</t>
  </si>
  <si>
    <t>Monitorear, evaluar y cerrar los proyectos de investigación</t>
  </si>
  <si>
    <t>MONITOREAR, EVALUAR Y CERRAR LOS PROYECTOS DE INVESTIGACIÓN</t>
  </si>
  <si>
    <t>Diseñar, preparar y realizar exposiciones en salas museales</t>
  </si>
  <si>
    <t>Ejecutar actividades de museología inscritas en el Plan de Gestión de Museos</t>
  </si>
  <si>
    <t>EJECUTAR ACTIVIDADES DE MUSEOLOGÍA INSCRITAS EN EL PLAN DE GESTIÓN DE MUSEOS</t>
  </si>
  <si>
    <t>Programar, diseñar y ofertar programas de educación informal.</t>
  </si>
  <si>
    <t>PROGRAMAR, DISEÑAR Y OFERTAR PROGRAMAS DE EDUCACIÓN INFORMAL.</t>
  </si>
  <si>
    <t>Ejecutar y evaluar programas de educación informal</t>
  </si>
  <si>
    <t>EJECUTAR Y EVALUAR PROGRAMAS DE EDUCACIÓN INFORMAL</t>
  </si>
  <si>
    <t>Ejecutar programas de posgrado con registro calificado vigente.</t>
  </si>
  <si>
    <t>Evaluar y autoevaluar programas con registro calificado por parte de estudiantes, docentes y egresados</t>
  </si>
  <si>
    <t>EVALUAR Y AUTOEVALUAR PROGRAMAS CON REGISTRO CALIFICADO POR PARTE DE ESTUDIANTES, DOCENTES Y EGRESADOS</t>
  </si>
  <si>
    <t>Diseñar, montar, editar, grabar y producir la programación</t>
  </si>
  <si>
    <t>Realizar y producir la programación</t>
  </si>
  <si>
    <t>REALIZAR Y PRODUCIR LA PROGRAMACIÓN</t>
  </si>
  <si>
    <t>Realizar actividades de consolidación académica</t>
  </si>
  <si>
    <t>Realizar procesos de gestión editorial del Instituto</t>
  </si>
  <si>
    <t>REALIZAR PROCESOS DE GESTIÓN EDITORIAL DEL INSTITUTO</t>
  </si>
  <si>
    <t>Realizar procesos de divulgación de las actividades misionales</t>
  </si>
  <si>
    <t>REALIZAR PROCESOS DE DIVULGACIÓN DE LAS ACTIVIDADES MISIONALES</t>
  </si>
  <si>
    <t>Etiquetas de columna</t>
  </si>
  <si>
    <t xml:space="preserve">CONSOLIDACIÓN </t>
  </si>
  <si>
    <t>FORTALECIMIENTO</t>
  </si>
  <si>
    <t>INCREMENTO</t>
  </si>
  <si>
    <t>PRODUCTO</t>
  </si>
  <si>
    <t>EDUCACION FORMAL</t>
  </si>
  <si>
    <t>MODALIDAD</t>
  </si>
  <si>
    <t>REMOTA</t>
  </si>
  <si>
    <t>3422121 Ext. 127</t>
  </si>
  <si>
    <t xml:space="preserve">juan.espinosa@caroycuervo.gov.co </t>
  </si>
  <si>
    <t>Otrosí por 6'000.000</t>
  </si>
  <si>
    <t>Otrosí por 4'502.171 un curso de español</t>
  </si>
  <si>
    <t>COORDINACIÓN EDUCACIÓN CONTINUA TOTAL: ELE presencial y virtual, FSAB Subdirección académica, cursos extensión</t>
  </si>
  <si>
    <t>POR DEFINIR</t>
  </si>
  <si>
    <t>PAGO 1er TUTOR DIPLOMADO VIRTUAL ELE-2022-1: 72 HRS POR TUTOR  (MELE)</t>
  </si>
  <si>
    <t>PAGO 2do TUTOR DIPLOMADO VIRTUAL ELE-2022-1: 72 HRS POR TUTOR (MELE)</t>
  </si>
  <si>
    <t>PAGO 3er TUTOR DIPLOMADO VIRTUAL ELE-2022-1: 72 HRS POR TUTOR (MELE)</t>
  </si>
  <si>
    <t>PAGO 4to TUTOR DIPLOMADO VIRTUAL ELE-2022-1: 72 HRS POR TUTOR (MELE)</t>
  </si>
  <si>
    <t>PAGO 5to TUTOR DIPLOMADO VIRTUAL ELE-2022-1: 72 HRS POR TUTOR (MELE)</t>
  </si>
  <si>
    <t>PAGO 6to TUTOR DIPLOMADO VIRTUAL ELE-2022-1: 72 HRS POR TUTOR (MELE)</t>
  </si>
  <si>
    <t>PAGO 7mo TUTOR DIPLOMADO VIRTUAL ELE-2022-1: 72 HRS POR TUTOR (MELE)</t>
  </si>
  <si>
    <t>PAGO 8vo TUTOR DIPLOMADO VIRTUAL ELE-2022-1: 72 HRS POR TUTOR (MELE)</t>
  </si>
  <si>
    <t>PAGO 9no TUTOR DIPLOMADO VIRTUAL ELE-2022-1: 72 HRS POR TUTOR (MELE)</t>
  </si>
  <si>
    <t>PAGO 10mo TUTOR DIPLOMADO VIRTUAL ELE-2022-1: 72 HRS POR TUTOR (MELE)</t>
  </si>
  <si>
    <t>PAGO 1er TUTOR DIPLOMADO VIRTUAL ESCRITURA PARA SORDOS ELE-2022-1 - 30 HRS (MELE)</t>
  </si>
  <si>
    <t>PAGO 2do TUTOR DIPLOMADO VIRTUAL ESCRITURA PARA SORDOS ELE-2022-1 - 36 HRS (MELE)</t>
  </si>
  <si>
    <t>TUTORES VIRTUALES DIPLOMADO EN DOCUMENTACIÓN LINGÜÍSTICA (3 TUTORES PARA 1 COHORTE)</t>
  </si>
  <si>
    <t>TUTORES VIRTUALES DIPLOMADO EN LENGUAS Y CULTURAS NATIVAS EN COLOMBIA (2 TUTORES PARA 1 COHORTE)</t>
  </si>
  <si>
    <t>TUTORES VIRTUALES  DIPLOMADO EN ARGUMENTACIÓN PARA LA CIUDADANÍA (2 TUTORES PARA 1 COHORTE)</t>
  </si>
  <si>
    <t>TUTORES VIRTUALES DIPLOMADO CÓMO ESCRIBIR EN LENGUAJE CLARO (4 TUTORES PARA 1 COHORTE)</t>
  </si>
  <si>
    <t>TUTOR VIRTUAL DIPLOMADO DE LINGÜÍSTICA DE CORPUS Y COMPUTACIONAL (2 TUTORES PARA 1 COHORTE)</t>
  </si>
  <si>
    <t>NUEVO ÍTEM: Profesora del curso de educación continua "Escribir con la imagen y dibujar con la palabra". 36 horas. (MEC)</t>
  </si>
  <si>
    <t>Indicador SINERGIA</t>
  </si>
  <si>
    <t>XIMENA GAMA (REALIZADO EN 2021)</t>
  </si>
  <si>
    <t>NUEVO ÍTEM: Profesor 1 del diplomado-taller en escritura de cine 1 (Programa de educación continua). 32 horas. (MEC)</t>
  </si>
  <si>
    <t>JERÓNIMO ATEHORTÚA ARTEAGA (REALIZADO 2021)</t>
  </si>
  <si>
    <t>NUEVO ÍTEM: Profesor 2 del diplomado-taller en escritura de cine 1 (Programa de educación continua). 32 horas. (MEC)</t>
  </si>
  <si>
    <t>FEDERICO ATEHORTÚA ARTEAGA (REALIZADO 2021)</t>
  </si>
  <si>
    <t>NUEVO ÍTEM: Profesor 3 del diplomado-taller en escritura de cine 1 (Programa de educación continua). 32 horas. (MEC)</t>
  </si>
  <si>
    <t>MERCEDES GAVIRIA (REALIZADO 2021)</t>
  </si>
  <si>
    <t>NUEVO ÍTEM: Moderador de directores de cine invitados al diplomado-taller en escritura de cine. 6 charlas. (MEC)</t>
  </si>
  <si>
    <t>NUEVO ÍTEM: Profesor 1 del diplomado en escritura y retóricas feministas (Programa de educación continua). 32 horas. (MEC)</t>
  </si>
  <si>
    <t>NUEVO ÍTEM: Profesor 2 del diplomado en escritura y retóricas feministas (Programa de educación continua). 32 horas. (MEC)</t>
  </si>
  <si>
    <t>NUEVO ÍTEM: Profesor 3 del diplomado en escritura y retóricas feministas (Programa de educación continua). 32 horas. (MEC)</t>
  </si>
  <si>
    <t>NUEVO ÍTEM: Pago para seis (6) profesores para cubrir 96 horas del Diplomado en Edición Académica e Institucional (MEE)</t>
  </si>
  <si>
    <t>Daniel Blanco, Marco Giraldo, Sylvana Blanco, María Alejandra Tejada, Carolina Mazo, Emilia Miranda (REALIZADO EN 2020)</t>
  </si>
  <si>
    <t>Profesora de poesía Curso de extensión de Poesía experimental (MLC)</t>
  </si>
  <si>
    <t>LAURA MATEUS</t>
  </si>
  <si>
    <t>NUEVO ÍTEM: Curso de extensión de Literaturas indígenas (MLC)</t>
  </si>
  <si>
    <t xml:space="preserve">ESTEFANÍA RAMÍREZ </t>
  </si>
  <si>
    <t>PAGO 1er TUTOR DIPLOMADO VIRTUAL ELE-2022-2 - 72 HRS POR TUTOR (MELE)</t>
  </si>
  <si>
    <t>PAGO 2do TUTOR DIPLOMADO VIRTUAL ELE-2022-2 - 72 HRS POR TUTOR  (MELE)</t>
  </si>
  <si>
    <t>PAGO 3er TUTOR DIPLOMADO VIRTUAL ELE-2022-2 - 72 HRS POR TUTOR  (MELE)</t>
  </si>
  <si>
    <t>PAGO 4to TUTOR DIPLOMADO VIRTUAL ELE-2022-2 - 72 HRS POR TUTOR (MELE)</t>
  </si>
  <si>
    <t>PAGO 5to TUTOR DIPLOMADO VIRTUAL ELE-2022-2 - 72 HRS POR TUTOR (MELE)</t>
  </si>
  <si>
    <t>PAGO 6to TUTOR DIPLOMADO VIRTUAL ELE-2022-2 - 72 HRS POR TUTOR (MELE)</t>
  </si>
  <si>
    <t>PAGO 7mo TUTOR DIPLOMADO VIRTUAL ELE-2022-2 - 72 HRS POR TUTOR (MELE)</t>
  </si>
  <si>
    <t>PAGO 8vo TUTOR DIPLOMADO VIRTUAL ELE-2022-2: 72 HRS POR TUTOR (MELE)</t>
  </si>
  <si>
    <t>PAGO 9no TUTOR DIPLOMADO VIRTUAL ELE-2022-2: 72 HRS POR TUTOR (MELE)</t>
  </si>
  <si>
    <t>PAGO 10mo TUTOR DIPLOMADO VIRTUAL ELE-2022-2: 72 HRS POR TUTOR (MELE)</t>
  </si>
  <si>
    <t>NUEVO ÍTEM: Profesor del curso de educación continua "El arte de la poesía". 28 horas. (MEC)</t>
  </si>
  <si>
    <t>Adquisición eliminada</t>
  </si>
  <si>
    <t>NUEVO ÍTEM: Profesora del curso de educación continua "Narrar los agujeros negros". 36 horas. (MEC)</t>
  </si>
  <si>
    <t>NUEVO ÍTEM: APOYO EDUCACIÓN CONTINUA (APOYO A LA SUPERVISIÓN DE MARTA OSORNO) REVISIÓN DE DIPLOMADO ARGUMENTACIÓN PARA LA CIUDADANÍA Y OTROS EDUCONTINUA</t>
  </si>
  <si>
    <t>Nuevo contratista</t>
  </si>
  <si>
    <t>Plan estrategico de talento humano</t>
  </si>
  <si>
    <t>Gastos en ARL de practicantes</t>
  </si>
  <si>
    <t>Publicación Plantas Palabras version III</t>
  </si>
  <si>
    <t>MARÍA DEL ROSARIO BARROS</t>
  </si>
  <si>
    <t>3422121 Ext. 245</t>
  </si>
  <si>
    <t>3422121 Ext. 246</t>
  </si>
  <si>
    <t>SUSCRIPCIÓN BASES DE DATOS - RENOVACIÓN BASE DE DATOS PROQUEST DISSERTATION &amp; THESIS</t>
  </si>
  <si>
    <t xml:space="preserve">80000000; 80111600 </t>
  </si>
  <si>
    <t>3422121 Ext. 247</t>
  </si>
  <si>
    <t>MANTENIEMIENTO Y SERVICIO DE HOSTING DEL SISTEMA DE INFORMACIÓN BIBLIOGRÁFICO KOHA MEDIENTE EL CUAL SE ADMINISTRAN LAS COLECCIONES Y SERVICIO BIBIOTECARIOS EN LAS DOS SEDES.</t>
  </si>
  <si>
    <t>3422121 Ext. 248</t>
  </si>
  <si>
    <t>3422121 Ext. 249</t>
  </si>
  <si>
    <t>43000000; 81000000</t>
  </si>
  <si>
    <t>ORGANIZACIÓN Y PRESERVACIÓN DE LAS COLECCIONES</t>
  </si>
  <si>
    <t>CORRECCIÓN DIGITAL DE LA CINTA CON LA VOZ DE RUFINO JOSÉ CUERVO Y DIGITALIZACIÓN DE LOS MEDIOS ANÁLOGOS DEL ARCHIVO LITERARIO ENTRAGDO POR LA POETA MERY YOLANDA SÁNCHEZ, HELCÍAS MARTÁN GÓNGORA Y OTROS MATERIALES DEL ARCHIVO SONORO DEL ALEC Y OTROS TEMAS DEL INSTITUTO PENDIENTES POR DIGITALIZAR.</t>
  </si>
  <si>
    <t>3422121 Ext. 250</t>
  </si>
  <si>
    <t>ADQUISICIÓN DE CUBIERTAS Y MANTENIMIENTO DE LA MÁQUINA APLICADORA DE CUBIERTAS PARA EL FORRADO Y PRESERVACION DE LOS LIBROS.</t>
  </si>
  <si>
    <t>3422121 Ext. 252</t>
  </si>
  <si>
    <t>DOTACIÓN DE ESPACIO A LA BIBLIOTECA PARA LA ORGANIZACIÓN Y ALMACENAMIENTO DE LAS COLECCIONES.</t>
  </si>
  <si>
    <t>RECURSOS FÍSICOS</t>
  </si>
  <si>
    <t>Arreglo gotera Colección archivos patrimoniales y Henry Luque.</t>
  </si>
  <si>
    <t>Revisión del sistema eléctrico de la biblioteca, regularmente se salta un taco de la luz.</t>
  </si>
  <si>
    <t xml:space="preserve">	Cambio de filtros UV de las ventanas, e instalación de filtros UV faltantes en la sala de lectura y las vitrinas de la Biblioteca en la sede Yerbabuena. </t>
  </si>
  <si>
    <t xml:space="preserve">Mantenimiento de los equipos deshumidificadores y adquisición de cuatro nuevos equipos requeridos en la Biblioteca para las salas de los archivos históricos. </t>
  </si>
  <si>
    <t xml:space="preserve">Mantenimiento de todas las ventanas y persianas de la biblioteca en la sede Yerbabuena. </t>
  </si>
  <si>
    <t xml:space="preserve">Adquisición de suministros de papelería especial (Rótulos para la marcación de CD, CD-ROM y DVD vírgenes, contac, páginas de papel autoadhesivo, etc.) para la preparación física del material Bibliográfico. </t>
  </si>
  <si>
    <t>TIC</t>
  </si>
  <si>
    <t>Mantenimiento de lectores, impresora generadora de códigos de barras, Escáners y PC</t>
  </si>
  <si>
    <t>Adquisición de un escáner profesional que soporte multiples formatos</t>
  </si>
  <si>
    <t>Adquisición de tres lectores de códigos de barras Symbol</t>
  </si>
  <si>
    <t xml:space="preserve">Asignación de una nueva extensión telefónica en la sede Yerbabuena. </t>
  </si>
  <si>
    <t>Punto de red y toma corriente para la impresora</t>
  </si>
  <si>
    <t>Sustitución PC que se daño y  se requiere para el trabajo regular</t>
  </si>
  <si>
    <t xml:space="preserve">Reemplazo de las terminales de la sede Yerbabuena </t>
  </si>
  <si>
    <t>SERVICIOS PROFESIONALES EN LA PRODUCCIÓN DE EVENTOS VIRTUALES</t>
  </si>
  <si>
    <t>TIQUETE PARTICIPACIÓN HAY FESTIVAL 2022</t>
  </si>
  <si>
    <t>3422121 EXT. 216</t>
  </si>
  <si>
    <t>cesa.buitrago@caroycuervo.gov.co - alejandro.sanchez@caroycuervo.gov.co</t>
  </si>
  <si>
    <t>ARMANDO RODRÍGUEZ</t>
  </si>
  <si>
    <t>3422121 EXT. 217</t>
  </si>
  <si>
    <t>JAIME ÁLVAREZ</t>
  </si>
  <si>
    <t>3422121 EXT. 218</t>
  </si>
  <si>
    <t>3422121 EXT. 219</t>
  </si>
  <si>
    <t>3422121 EXT. 220</t>
  </si>
  <si>
    <t>3422121 EXT. 221</t>
  </si>
  <si>
    <t>NEFTALÍ VANEGAS (ESTE CONTRATO SE UNE CON EL DE MUSEOS)</t>
  </si>
  <si>
    <t>3422121 EXT. 222</t>
  </si>
  <si>
    <t>3422121 EXT. 223</t>
  </si>
  <si>
    <t>3422121 EXT. 224</t>
  </si>
  <si>
    <t>3422121 EXT. 225</t>
  </si>
  <si>
    <t>3422121 EXT. 226</t>
  </si>
  <si>
    <t>3422121 EXT. 227</t>
  </si>
  <si>
    <t>CONTRATACIÓN SERVICIOS PROFESIONALES PARA APOYAR LA EDICIÓN Y CORRECCIÓN DE UN PROYECTO EDITORIAL DEL ICC</t>
  </si>
  <si>
    <t>HÉLEN POULIQUEN</t>
  </si>
  <si>
    <t>3422121 EXT 128</t>
  </si>
  <si>
    <t>3422121 EXT 129</t>
  </si>
  <si>
    <t>SERVICIOS DE EXPOSICIONES</t>
  </si>
  <si>
    <t xml:space="preserve">PRODUCCION MUSEOGRAFICA 1 EXPOSICION </t>
  </si>
  <si>
    <t>CONTRATACIÓN PARA PRESTAR LOS SERVICIOS PROFESIONALES PARA IMPLEMENTAR ACCIONES DE CONSERVACIÓN PREVENTIVA CON LAS COLECCIONES EN COMODATO DEL MUSEO DEL S. XIX (MINCULTURA-FONDO CULTURAL CAFETERO)</t>
  </si>
  <si>
    <t>Nuevo contratista
Esta adquisición queda en lista de espera de recursos</t>
  </si>
  <si>
    <t>Contratación de servicios profesionales de una conservadora de bienes muebles y antropóloga (María José Echeverri) que diseñe e implemente en coordinación con Norma Juliana un plan de conservación preventiva, registro y actualización de las ubicaciones de los más de 3.500 bienes muebles incluidos en los comodatos con el Fondo Cultural Cafetero y el Ministerio de Cultura. Se habló con la directora de solicitarlo como a Martín y luego surgió esa oportunidad de pedir más recursos. Pero es prioritario y muy importante.</t>
  </si>
  <si>
    <t>PRODUCCIÓN GUION MUSICAL SIGLO XIX</t>
  </si>
  <si>
    <t>Especificar
Esta adquisición queda en lista de espera de recursos</t>
  </si>
  <si>
    <t>Contratación de servicios profesionales de un músico (Alexander Klein) que seleccione y grabe las composiciones musicales que nutren el guion musical del Museo de Yerbabuena - Casa Marroquín Osorio (primera fase).</t>
  </si>
  <si>
    <t>TIQUETES PARA DESPLAZARSE A IMPARTIR CURSOS DE DOCUMENTACIÓN LINGÜÍSTICA Y CULTURAL A COMUNIDADES INDÍGENAS EN EL MARCO DE SENTENCIAS DE JUZGADOS Y/O PLANES INTEGRALES DE REPARACIÓN - PLAN DECENAL DE LENGUAS</t>
  </si>
  <si>
    <t>CONTRATACIÓN PROFESIONAL PARA CONTINUAR CON PROYECTO DE HABLANTE VIRTUAL DEL TINIGUA</t>
  </si>
  <si>
    <t>Definir contratista en primer semestre para presentar proyecto de investigación</t>
  </si>
  <si>
    <t>CONTRATACIÓN PROFESIONAL PARA TRABAJAR MÓDULO DE DIPLOMADO EN LENGUAJE CLARO CON COMUNICADORES SOCIALES Y DIVULGACIÓN CIENTÍFICA</t>
  </si>
  <si>
    <t>Testimonio lideres comunitarios de Bogotá,  Volumen 2. Proyecto de extensión. Estudiante 32 horas</t>
  </si>
  <si>
    <t>2021 Se pago por convenio con recursos de cursos</t>
  </si>
  <si>
    <t>Testimonio lideres comunitarios de Bogotá,  Volumen 2. Proyecto de apropiación social del conocimiento. Estudiante 32 horas</t>
  </si>
  <si>
    <t>Testimonio lideres comunitarios de Bogotá, 2. Proyecto de apropiación social del conocimiento.. Estudiante 32 horas</t>
  </si>
  <si>
    <t>Testimonio lideres comunitarios de Bogotá, 2. Proyecto de apropiación social del conocimiento. Estudiante 70 horas</t>
  </si>
  <si>
    <t>Testimonio lideres comunitarios de Bogotá, volumen 2. Proyecto de apropiación social del conocimiento. Estudiante 72 horas</t>
  </si>
  <si>
    <t>NUEVO ÍTEM. CONFERENCIA PROFESOR INTERNACIONAL (APERTURA NUEVA COHORTE): HONORARIOS</t>
  </si>
  <si>
    <t xml:space="preserve">NUEVA ACTIVIDAD </t>
  </si>
  <si>
    <t>NUEVO ITEM: COLOQUIO DE LOS ESTUDIANTES MEE: HONORARIOS PARA DOS (2) CONFERENCISTAS INVITADOS y UN (1) TALLERISTA INVITADOS DE PARTE DE LOS ESTUDIANTES (2 HORAS C/U).</t>
  </si>
  <si>
    <t>Apoyo a proyecto de relacionamiento con el sector externo: Convenio ICC-CINEP (Centro de Investigación y Educación Popular). Disponer de un estímulo económico a dos (2) estudiantes por cuatro meses (1 SMMLV) para que cumplan las actividades de investigación/edición propias al desarrollo del convenio CINEP.dos (2) estudiantes por cuatro meses (1 SMMLV)</t>
  </si>
  <si>
    <t>Auxiliar de investigación para un (1) estudiantes por cuatro meses (1 SMMLV)</t>
  </si>
  <si>
    <t>TRES CONFERENCISTAS INVITADOS COMO PONENTES PRINCIPALES DE LAS JORNADAS DE INVESTIGACIÓN JOSÉ JOAQUÍN MONTES</t>
  </si>
  <si>
    <t>ACTIVIDAD CADA DOS AÑOS</t>
  </si>
  <si>
    <t>JORNADAS DE INVESTIGACIÓN JOSÉ  MONTES</t>
  </si>
  <si>
    <t>Movilidad estudiantil  y docente saliente para los 5 programas de Maestría-TIQUETES</t>
  </si>
  <si>
    <t xml:space="preserve">Coordinador académico y coordinador de extensión. Tutorías individuales (2022-1). </t>
  </si>
  <si>
    <t xml:space="preserve">Coordinadora de extensión. Tutorías individuales (2022-1). Profesora de Diplomado latinoamericano (2022-2, curso de 36 horas) </t>
  </si>
  <si>
    <t>REMOTO</t>
  </si>
  <si>
    <t>Directora de proyecto de investigación. Tutorías individuales (2022-1). Profesora del Seminario-taller de problemas narrativos (2022-2).</t>
  </si>
  <si>
    <t>Director de proyecto de investigación. Tutorías individuales (2022-1). Profesor de Electiva (2022-2).</t>
  </si>
  <si>
    <t>Líder de línea de investigación. Tutorías individuales (2022-1). Profesor del curso Interiores de la escritura (2022-2).</t>
  </si>
  <si>
    <t>CONTRATACIÓN DE DOCENTE INVESTIGADOR CON DOCTORADO QUE COORDINARÁ LA CÁTEDRA DE HERENCIA AFRICANA, DICTARÁ DOS CURSOS: EN EL SEMESTRE 2022-1, "ESCRITURA ARGUMENTATIVA" PARA LA MAESTRÍA EN LITERATURA Y CULTURA Y EN EL SEMESTRE 2022-2, TAMBIÉN ESCRITURA ARGUMENTATIVA PARA LA MAESTRÍA EN  ESCRITURA CREATIVA Y EN EL SEGUNDO SEMESTRE,  IV" Y SERÁ DIRECTOR DE PROYECTO DE INVESTIGACIÓN</t>
  </si>
  <si>
    <t>Jurados de trabajo de grado. 27 trabajos de grado, 2 jurados por trabajo para un total de 54 jurados. Valor: $454.263 por jurado.</t>
  </si>
  <si>
    <t>Directores de trabajo de grado. Como son 2 trabajos de grado a dirigir, necesitamos 7 directores  para equilibrar la carga laboral. Valor: $1.316.705 por director</t>
  </si>
  <si>
    <t>CONTRATACIÓN: Docente curso troncal: Escritura Argumentativa (2022-2)</t>
  </si>
  <si>
    <t>CONTRATACIÓN DOCENTE- INVESTIGADOR: Docente Seminario IV (2022-1) y Electiva/Extensión (2022-2) - Líder Proyecto de Investigación - Asesora de Tesis</t>
  </si>
  <si>
    <t>CONTRATACIÓN DOCENTE-INVESTIGADOR: Docente Electiva/Extensión (2022-1) y Diseño y Tipografía I (2022-2) - Líder Proyecto de Investigación - Asesor de Tesis</t>
  </si>
  <si>
    <t>CONTRATACIÓN DOCENTE-INVESTIGADOR: Docente Electiva/Extensión (2022-1) y Seminario I (2022-2) - Líder Proyecto de Investigación - Asesora de Tesis - Directora Línea de Investigación - Coordinadora Diplomado</t>
  </si>
  <si>
    <t xml:space="preserve">CONTRATACIÓN COORDINADOR MAESTRÍA-INVESTIGADOR: Coordinación de la MEE - Actualización Doc. Maestro - Líder de Proyecto investigación - Asesor de tesis - Curso de Extensión (2022-2) </t>
  </si>
  <si>
    <t>CONTRATACIÓN DOCENTE DOS CURSOS ELECTIVA-EXTENSIÓN: Docente cursos: Corrección de estilo básica (2022-1) y Corrección de estilo y cuidado de textos literarios (2022-2) Y UN CURSO INTERSEMESTRAL</t>
  </si>
  <si>
    <t>NUEVO ÍTEM: CONTRATACIÓN DOCENTE DE DOS CURSOS EXTENSIÓN: Diagramación básica para proyectos editoriales en los periodos intersemestral y 2022-2</t>
  </si>
  <si>
    <t xml:space="preserve">NUEVO ÍTEM. CONTRATACIÓN DOCENTE: Docentes curso troncal: El modelo de negocio (2022-1) </t>
  </si>
  <si>
    <t>CONFERENCIA PROFESOR INTERNACIONAL. HONORARIOS</t>
  </si>
  <si>
    <t>CONTRATACIÓN PARA PRESTAR LOS SERVICIOS PROFESIONALES EN DOCENCIA Y EDICIÓN UNIVERSITARIA, PARA APOYAR CON EL DISEÑO DE LOS CONTENIDOS CURRICULARES DEL DIPLOMADO VIRTUAL EDICIÓN ACADÉMICA E INSTITUCIONAL Y APOYAR LA GESTIÓN DE APERTURA DEL MISMO DIPLOMADO EN SU MODALIDAD PRESENCIAL.</t>
  </si>
  <si>
    <t xml:space="preserve">CONFERENCIA EDITOR NACIONAL. HONORARIOS </t>
  </si>
  <si>
    <t>SEMINARIO DE LIBRO ANTIGUO. HONORARIOS</t>
  </si>
  <si>
    <t>DOCENTE CON MAESTRÍA/DOCTORADO PARA IMPARTIR CURSO TRONCAL DE LA MAESTRÍA EN LINGÜÍSTICA, SEMESTRE II (Lingüística Computacional y de Corpus). Módulo I</t>
  </si>
  <si>
    <t>ESSÉ JOAQUÍNPA</t>
  </si>
  <si>
    <t>DE LA MAESTRÍA EN LINGÜÍSTICA DIRIGIDA A ESTUDIANTESL CONOCIMIENTO DE LAA.</t>
  </si>
  <si>
    <t>CONTRATACIÓN DE UNA DOCENTE INVESTIGADORA CON DOCTORADO QUE COORDINARÁ LA CÁTEDRA DE HERENCIA AFRICANA, DICTARÁ EL CURSO "TEORÍAS, POLÍTICAS Y CULTURA EN LATINOAMÉRICA" EN EL PRIMER SEMESTRE 2022-1 Y "SEMINARIO DE TRABAJO DE GRADO" EN EL SEGUNDO SEMESTRE, 2022-2 Y SERÁ DIRECTORA DEL PROYECTO DE INVESTIGACIÓN Poéticas transfronterizas (Afro e Indígenas).  NOMBRE: GRACIELA MAGLIA.</t>
  </si>
  <si>
    <t>CONTRATACIÓN DE UN DOCENTE INVESTIGADOR QUE DICTARÁ DOS CURSOS DE LA MAESTRÍA: EN EL SEMESTRE 2022-1  DICTARÁ "LITERATURAS, CONTRASTES,TENSIONES" Y EN EL SEMESTRE 2022-2 DICTARÁ "SEMINARIO DE TRABAJO DE GRADO"  SERÁ DIRECTOR DE LÍNEA DE INVESTIGACIÓN, DIRECTOR DE PROYECTO DE INVESTIGACIÓN "Cartografías del cuento en Colombia, fase 3" Y DIRECTOR DE AL MENOS 4 PROYECTOS DE TRABAJO DE GRADO. NOMBRE: JULIO ALBERTO BEJARANO HERNÁNDEZ</t>
  </si>
  <si>
    <t>CONTRATACIÓN DE UN DOCENTE INVESTIGADOR QUE DICTARÁ DOS CURSOS DE LA MAESTRÍA: EN EL SEMESTRE 2022-1 DICTARÁ "ELECTIVA IV" Y EN EL SEGUNDO SEMESTRE DICTARÁ "SEMINARIO DE TRABAJO DE GRADO". SERÁ DIRECTORA DEL PROYECTO DE INVESTIGACIÓN "Textualidades desde tres puntos cardinales: agencias y representaciones de pertenencia colectiva". NOMBRE: ADRIANA CAMPOS UMBARILA.</t>
  </si>
  <si>
    <t>CONTRATACIÓN DE CUATRO CONFERENCISTAS NACIONALES VIRTUALES</t>
  </si>
  <si>
    <t>PAGO A DIRECTORES DE TRABAJO DE GRADO-1</t>
  </si>
  <si>
    <t>CONTRATACIÓN DE DOS CONFERENCISTAS INTERNACIONALES PARA CONFERENCIAS VIRTUALES</t>
  </si>
  <si>
    <t>CIIACI</t>
  </si>
  <si>
    <t>1 profesor de lengua wayunaiki Curso de extensión de Wayunaiki OFERTABLE COMO CURSO ELECTIVO DE LA MAESTRÍA TAMBIÉN</t>
  </si>
  <si>
    <t xml:space="preserve"> Y REMOTO</t>
  </si>
  <si>
    <t>DOCENTE MAESTRÍA ELE/L2 32 HORAS</t>
  </si>
  <si>
    <t>Prestar los servicios profesionales como investigadora de la Maestría en Enseñanza de Español como Lengua Extranjera y Segunda Lengua.</t>
  </si>
  <si>
    <t>ANGELICA MEZA</t>
  </si>
  <si>
    <t>DOCENTE HORA CÁTEDRA MAESTRÍA ELE/L2  32 horas</t>
  </si>
  <si>
    <t>COORDINADOR E-LEARNING</t>
  </si>
  <si>
    <t>MAESTRÍA EN ENSEÑANZA DE ESPAÑOL COMO LENGUA EXTRANJERA Y SEGUNDA LENGUA-VIRTUALIZACIÓN</t>
  </si>
  <si>
    <t>PRODUCTOR DIGITAL SENIOR</t>
  </si>
  <si>
    <t>PRODUCTOR DIGITAL JUNIOR</t>
  </si>
  <si>
    <t>AUXILIAR DE MONTAJE</t>
  </si>
  <si>
    <t>SUSCRIPCIÓN A GENIAL.LY (20.82 USD x 6 meses)</t>
  </si>
  <si>
    <t>SUSCRIPCIÓN A ANIMOTO (15 USD x 6 meses)</t>
  </si>
  <si>
    <t>SUSCRIPCIÓN A LOOM (8 USD x 6 meses)</t>
  </si>
  <si>
    <t>CONTRATACIÓN DE UN INGENIERO PARA LA ADMINISTRACIÓN DE LA PLATAFORMA DE GESTIÓN ACADÉMICA Y ADMINISTRATIVA ACADEMUSOFT Y GESTIÓN DE LA INFORMACIÓN AL SNIES DE LAS VARIABLES POBLACIONAL Y ACADÉMICA</t>
  </si>
  <si>
    <t>ACADÉMICA Y ADMINISTRATIVA ACADEMUSOFT Y GESTIÓN DERMA DE GESTIÓN P</t>
  </si>
  <si>
    <t>UN PROFESIONAL PARA LA IMPLEMENTACIÓN DEL MODELO DE AUTOEVALUACIÓN PARA LOS PROGRAMAS DE MAESTRÍAS  Y RENOVACIÓN DE LOS REGISTROS CALIFICADOS DE LOS PROGRAMAS DE MAESTRÍA</t>
  </si>
  <si>
    <t>RAMAS DE MAESTRÍAS  YN PARA LOS PROGRAMASME</t>
  </si>
  <si>
    <t>LOGISTICA</t>
  </si>
  <si>
    <t>Movilidad Decanatura LASA 2022</t>
  </si>
  <si>
    <t>PROFESIONAL ENCARGADO DE BIENESTAR</t>
  </si>
  <si>
    <t>SERVICIO PSICOLÓGICO FACULTAD + 2 TALLERES BIENESTAR EMOCIONAL (desarrollo humano)</t>
  </si>
  <si>
    <t>Actividades en el marco del programa de bienestar universitario de la FSAB (atención y prevención en salud, deportes, recreación y cultura y promoción socioeconómica)</t>
  </si>
  <si>
    <t>ción ye la FSABpr</t>
  </si>
  <si>
    <t>SEGURO ESTUDIANTIL (atención y prevención en salud)</t>
  </si>
  <si>
    <t>Apoyo administrativo para manejo del convenio de asociación para la FSAB (convocatoria bienestar universitario - promoción socioeconómica)</t>
  </si>
  <si>
    <t>atoria bienestar universitario - promociónla FSAB (convocatoriane</t>
  </si>
  <si>
    <t>PROFESIONAL DE PLANEACIÓN</t>
  </si>
  <si>
    <t>CONTRATACIÓN PARA LA PRESTACIÓN DE SERVICIOS PROFESIONALES EN EL GRUPO DE PLANEACIÓN  PARA LA ORIENTACIÓN E IMPLEMENTACIÓN DE  LOS INDICADORES DE GESTIÓN</t>
  </si>
  <si>
    <t>80111715; 80101510</t>
  </si>
  <si>
    <t xml:space="preserve">PRESTAR LOS SERVICIOS PROFESIONALES EN EL GRUPO DE PLANEACIÓN PARA PARA LA ORIENTACIÓN E IMPLEMENTACIÓN DEL MODELO DE SEGURIDAD Y PRIVACIDAD DE LA INFORMACIÓN (MSPI) ALINEADO CON EL MARCO DE REFERENCIA DE ARQUITECTURA TI Y EL MODELO INTEGRADO DE PLANEACIÓN Y GESTIÓN (MIPG ) </t>
  </si>
  <si>
    <t>CONTRATACION DE UN TECNOLOGO EN SISTEMAS O AFINES PARA EL DESARROLLO DE ACTIVIDADES RELACIONADAS CON SOPORTE TÉCNICO, SOPORTE TECNOLÓGICO A USUARIOS, SISTEMAS DE INFORMACIÓN Y EQUIPOS DEL INSTITUTO CARO Y CUERVO</t>
  </si>
  <si>
    <t>3422121 EXT 167</t>
  </si>
  <si>
    <t>CONTRATACIÓN DE UN PROFESIONAL EN SISTEMAS PARA LA PRESTACIÓN DE SOPORTE TÉCNICO A LOS USUARIOS FINALES DE LA RED DE DATOS E INFRAESTRCTURA DEL INSTITUTO CARO Y CUERVO</t>
  </si>
  <si>
    <t xml:space="preserve">CONTRATACIÓN DE UN PROFESIONAL CON PERFIL DE ANALISTA DESARROLLADOR WEB DE SISTEMAS PARA MANTENER Y CREAR NUEVOS PORTALES WEB REQUERIDOS POR EL INSTITUTO CARO Y CUERVO </t>
  </si>
  <si>
    <t>SERVICIOS DE ADMINISTRACIÓN DE LA UNIDAD CENTRAL</t>
  </si>
  <si>
    <t xml:space="preserve">CONTRATACIÓN DE UN PROFESIONAL EN INGENIERIA DE SISTEMAS DESARROLLADOR PARA LA IMPLEMENTACION DE LA NUEVA PAGINA WEB DEL INSTITUTO CARO Y CUERVO </t>
  </si>
  <si>
    <t>SERVICIO DE NALISIS DE SISTEMAS</t>
  </si>
  <si>
    <t>CONTRATACIÓN DE UN PROFESIONAL EN INGENIERIA DE SISTEMAS PARA ARQUITECTURA EMPRESARIAL, GOBIERNO DIGITAL Y LEVANTAMIENTO DE PROCESOS Y PROCEDIMIENTOS DEL AREA TIC</t>
  </si>
  <si>
    <t>CONTRATACIÓN DE UN TECNICO EN  SISTEMAS O CARRERAS AFINES PARA EL CARGUE DE CONTENIDO Y SOPORTE A LA PLATAFORMA DE LOS CURSOS VIRTUALES DEL ICC</t>
  </si>
  <si>
    <t>ALQUILER DE COMPUTADORES</t>
  </si>
  <si>
    <t>ALQUILER DE VEINTE (20) COMPUTADORES PARA LA SALA FACULTAD ANDRES BELLO</t>
  </si>
  <si>
    <t>CERTIFICADO LACNIC IPV6</t>
  </si>
  <si>
    <t>ALQUILER O COMPRA DE EQUIPOS 100</t>
  </si>
  <si>
    <t>CONTRATO IMPRESORAS</t>
  </si>
  <si>
    <t xml:space="preserve">  </t>
  </si>
  <si>
    <t>JULIO.BERNAL@CAROYCUERVO.GOV.CO</t>
  </si>
  <si>
    <t>JUAN SEBASTIAN RIOS</t>
  </si>
  <si>
    <t>VERONICA MANOSALVA</t>
  </si>
  <si>
    <t>GENTE DE LIBROS, GENTES D EMEDIOS. INTERACCIONES Y RECIPROCIDADES ENTRE EDICIÓN, RADIODIFUSIÓN Y TELEVISIÓN EN COLOMBIA, 1940-1990</t>
  </si>
  <si>
    <t>SALIDA DE CAMPO PASAJES AEREOS INTERNACIONALES: BOGOTÁ-MADRID-BOGOTÁ INVESTIGACIÓN EN LOS ARCHIVOS PERSONALES DE JOSÉ PRAT GARCÍA, TRABAJADOR DE LA RADIO NACIONAL DURANTE SU EXILIO EN COLOMBIA</t>
  </si>
  <si>
    <t>JUAN DAVID MURILLO</t>
  </si>
  <si>
    <t>EDICIÓN CRÍTICA EN BOGOTÁ UNA MIRADA A LA EDICIÓN POLÍTICA Y DE CIENCIAS SOCIALES DE LOS AÑOS SETENTA</t>
  </si>
  <si>
    <t>SANTIAGO VASQUEZ</t>
  </si>
  <si>
    <t>SALIDA DE CAMPO ESTIA MONTERÍA 4 DÍAS</t>
  </si>
  <si>
    <t>SUSANA RUDAS</t>
  </si>
  <si>
    <t xml:space="preserve"> SALIDA DE CAMPO 1 TIQUETE (VUELO COMERCIAL) BOGOTÁ-MITU-MITU-BOGOTÁ</t>
  </si>
  <si>
    <t>SALIDA DE CAMPO 1 TIQUETES (AVIONETA) MITÚ-BUENOS AIRES (COMUNIDAD CABIYARÍ.BARASANA, TAIWANAS), IDA Y VUELTA</t>
  </si>
  <si>
    <t>COMPETENCIAS EN TIC DE DOCENTES DE LENGUAS EXTRANJERAS: ANALISIS DE NECESIDADES  EN FORMACIÓN DOCENTE</t>
  </si>
  <si>
    <t>LIDER DIMENSIÓN DE CORPUS Y LEXICOGRÁFICAA</t>
  </si>
  <si>
    <t>ASISTENTE DIMENSION DE CORPUS Y LEXICOGRÁFICA</t>
  </si>
  <si>
    <t>FABIAN URBINA</t>
  </si>
  <si>
    <t>ANDRES ESTEBAN LUNA</t>
  </si>
  <si>
    <t>FRANCISCO DE LA TORRE</t>
  </si>
  <si>
    <t xml:space="preserve">CONTRATO SERVICIOS TÉCNICOS SEGMENTACIÓN Y TRANSCRIPCIÓN DEL DE GLOSAS EN VIDEO  EL PERFIL DE TRANSCRIPTORES
1). PROFESIONALES O ESTUDIANTES UNIVERSITARIOS DE ÚLTIMO SEMESTRE CON AMPLIO CONOCIMIENTO EN SEGMENTACIÓN Y TRANSCRIPCIÓN CON EL SOFTWARE ELAN. TAMBIÉN PUEDEN SER PERSONAS SORDAS BACHILLERES QUE TAMBIÉN ACREDITEN ENTRENAMIENTO Y EXPERIENCIA EN EL USO DE ELAN.
2).CONOCIMIENTO BÁSICO DE LENGUA DE SEÑAS COLOMBIANA (LSC)
</t>
  </si>
  <si>
    <t>PAGO INSCRIPCIÓN EVENTO 240 DÓLARES
3º CONGRESO NACIONAL DE PESQUISAS EM LINGUÍSTCICA E LINGUAS DE SINAIS/ 7 CONGRESSO NACIONAL DE PESQUISAS EN TRADUCAO E INTERPRETACAO DE LIBRAR E LINGUA PORTUGUESA/4 SEMINARIO FRANCO-BRASILEIRO DE ESTUDIOS SURDOS: LINGUAS DE SINAIS, ARTES E TRADUCAO E INTERPRETACAO
FECHA: 27 de JUNIO de 2022 a 1 JULIO de 2022
FECHAS LÍMITE DE PAGO: 
HASTA el 20 de ENERO de 2022, USD$100
HASTA el 30 de MARZOde 2022, USD$170
EN EL SITIO DEL EVENTO 29 DE JUNIO DE 2022, USD$240</t>
  </si>
  <si>
    <t>QUECHUISMOS EN EL ESPAÑOL HABLADO EN COLOMBIA, SEGÚN EL ALEC Y OTRAS FUENTES: ESTUDIO LEXICOLÓGICO, DIALECTOLÓGICO Y LEXICOGRÁFICO VIGENCIA 2022</t>
  </si>
  <si>
    <t>TIQUETE BOGOTÁ-MADRID-BOGOTA ASISTENCIA AL SEMINARIO DOCTORAL DE LA DOKES CON FINES DE EVALUACIPIN  DURANTE 2022 EN VITORIA-GASTEIZ (ACTIVIDAD OBLIGATORIA PARA LOS DOCTORANDOS EN MODALIDAD A TIEMPO PARCIAL)</t>
  </si>
  <si>
    <t>NESTOR RUIZ</t>
  </si>
  <si>
    <t>VIÁTICOS PARA MADRID ASISTENCIA AL SEMINARIO DOCTORAL DE LA DOKES CON FINES DE EVALUACIPIN  DURANTE 2022 EN VITORIA-GASTEIZ (ACTIVIDAD OBLIGATORIA PARA LOS DOCTORANDOS EN MODALIDAD A TIEMPO PARCIAL)</t>
  </si>
  <si>
    <t>TIQUETES ARARACUARA-BOGOTÁ-ARARACUARA PARA LAS GRABACIONES DE ARCHIVOS DE AUDIO</t>
  </si>
  <si>
    <t>PAGO HONORARIOS POR CONOCIMIENTOS PARA EL HABLANTE NATIVO QUIEN VENDRPA A BOGOTÁ PARA LAS GRABACIONES DE ARCHIVOS DE AUDIO</t>
  </si>
  <si>
    <t>EL GENERO DISCURSIVO  DE CONSEJO EN LENGUA MUINANE Y CABIYARÍ</t>
  </si>
  <si>
    <t>WILSON GOMEZ PULGARÍN</t>
  </si>
  <si>
    <t>SALIDA DE CAMPO TIQUETES A BARRANCOMINAS GUAINIA</t>
  </si>
  <si>
    <t>ANA C RODRIGUEZ</t>
  </si>
  <si>
    <t xml:space="preserve">Subdirección </t>
  </si>
  <si>
    <t>Proceso</t>
  </si>
  <si>
    <t>Proyecto</t>
  </si>
  <si>
    <t>Descripción de la adquisición</t>
  </si>
  <si>
    <t>Fecha estimada de inicio de proceso de selección</t>
  </si>
  <si>
    <t>Fecha de presentación de ofertas</t>
  </si>
  <si>
    <t>Duración estimada del contrato (número meses)</t>
  </si>
  <si>
    <t>Duración estimada del contrato (intervalo: días)</t>
  </si>
  <si>
    <t xml:space="preserve">Modalidad de selección </t>
  </si>
  <si>
    <t>Fuente de los recursos</t>
  </si>
  <si>
    <t>Valor total estimado</t>
  </si>
  <si>
    <t>Valor estimado en la vigencia actual</t>
  </si>
  <si>
    <t>¿Se requieren vigencias futuras?</t>
  </si>
  <si>
    <t>Valor a solicitar de Vigencias Futuras</t>
  </si>
  <si>
    <t>Estado de solicitud de vigencias futuras</t>
  </si>
  <si>
    <t>Unidad de Contratación</t>
  </si>
  <si>
    <t xml:space="preserve">Nombres y apellidos del responsable </t>
  </si>
  <si>
    <t xml:space="preserve">Teléfono del responsable </t>
  </si>
  <si>
    <t xml:space="preserve">Correo electrónico del responsable </t>
  </si>
  <si>
    <t>Observaciones</t>
  </si>
  <si>
    <t>CONCURSO DE MÉRITOS  CON PRECALIFICACIÓN</t>
  </si>
  <si>
    <t>MEJORAMIENTO CONTINUO</t>
  </si>
  <si>
    <t>CONCURSO DE MÉRITOS ABIERTO</t>
  </si>
  <si>
    <t>NO SOLICITADAS</t>
  </si>
  <si>
    <t>APROBADAS</t>
  </si>
  <si>
    <t>ALIANZAS</t>
  </si>
  <si>
    <t>EVALUACIÓN INDEPENDIENTE</t>
  </si>
  <si>
    <t>Gestión administrativa</t>
  </si>
  <si>
    <t>MODALIDAD DE CONTRATACIÓN</t>
  </si>
  <si>
    <t>Contabilidad y presupuesto</t>
  </si>
  <si>
    <t>Evaluación independiente</t>
  </si>
  <si>
    <t>FUENTE DELOS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</si>
</sst>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 #,##0;[Red]\-&quot;$&quot;\ #,##0"/>
    <numFmt numFmtId="44" formatCode="_-&quot;$&quot;\ * #,##0.00_-;\-&quot;$&quot;\ * #,##0.00_-;_-&quot;$&quot;\ * &quot;-&quot;??_-;_-@_-"/>
    <numFmt numFmtId="165" formatCode="_(&quot;$&quot;\ * #,##0_);_(&quot;$&quot;\ * \(#,##0\);_(&quot;$&quot;\ * &quot;-&quot;_);_(@_)"/>
    <numFmt numFmtId="166" formatCode="_(* #,##0_);_(* \(#,##0\);_(* &quot;-&quot;_);_(@_)"/>
    <numFmt numFmtId="167" formatCode="_(&quot;$&quot;\ * #,##0.00_);_(&quot;$&quot;\ * \(#,##0.00\);_(&quot;$&quot;\ * &quot;-&quot;??_);_(@_)"/>
    <numFmt numFmtId="168" formatCode="&quot;$&quot;\ #,##0"/>
    <numFmt numFmtId="169" formatCode="&quot;$&quot;\ #,##0.0"/>
    <numFmt numFmtId="170" formatCode="&quot;$&quot;#,##0"/>
    <numFmt numFmtId="171" formatCode="&quot;$&quot;\ #,##0.00"/>
    <numFmt numFmtId="172" formatCode="&quot;$&quot;#,##0;[Red]&quot;$&quot;#,##0"/>
    <numFmt numFmtId="173" formatCode="_-&quot;$&quot;\ * #,##0_-;\-&quot;$&quot;\ * #,##0_-;_-&quot;$&quot;\ * &quot;-&quot;??_-;_-@_-"/>
    <numFmt numFmtId="174" formatCode="_-&quot;$&quot;\ * #,##0.000_-;\-&quot;$&quot;\ * #,##0.000_-;_-&quot;$&quot;\ * &quot;-&quot;??_-;_-@_-"/>
    <numFmt numFmtId="175" formatCode="_(&quot;$&quot;\ * #,##0.00_);_(&quot;$&quot;\ * \(#,##0.00\);_(&quot;$&quot;\ * &quot;-&quot;_);_(@_)"/>
    <numFmt numFmtId="176" formatCode="_(&quot;$&quot;\ * #,##0.000_);_(&quot;$&quot;\ * \(#,##0.000\);_(&quot;$&quot;\ * &quot;-&quot;_);_(@_)"/>
    <numFmt numFmtId="177" formatCode="_(&quot;$&quot;\ * #,##0_);_(&quot;$&quot;\ * \(#,##0\);_(&quot;$&quot;\ * &quot;-&quot;??_);_(@_)"/>
    <numFmt numFmtId="178" formatCode="#,##0;[Red]#,##0"/>
    <numFmt numFmtId="179" formatCode="&quot;$&quot;\ #,##0.00;[Red]&quot;$&quot;\ #,##0.00"/>
  </numFmts>
  <fonts count="7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name val="Verdana"/>
      <family val="2"/>
    </font>
    <font>
      <sz val="10"/>
      <name val="Arial"/>
      <family val="2"/>
    </font>
    <font>
      <b/>
      <sz val="10"/>
      <name val="Arial"/>
      <family val="2"/>
    </font>
    <font>
      <b/>
      <sz val="9"/>
      <color indexed="81"/>
      <name val="Tahoma"/>
      <family val="2"/>
    </font>
    <font>
      <sz val="9"/>
      <color indexed="81"/>
      <name val="Tahoma"/>
      <family val="2"/>
    </font>
    <font>
      <b/>
      <sz val="11"/>
      <name val="Arial"/>
      <family val="2"/>
    </font>
    <font>
      <b/>
      <sz val="8"/>
      <name val="Arial"/>
      <family val="2"/>
    </font>
    <font>
      <sz val="8"/>
      <name val="Calibri"/>
      <family val="2"/>
    </font>
    <font>
      <b/>
      <sz val="12"/>
      <name val="Arial Narrow"/>
      <family val="2"/>
    </font>
    <font>
      <sz val="11"/>
      <color theme="1"/>
      <name val="Calibri"/>
      <family val="2"/>
      <scheme val="minor"/>
    </font>
    <font>
      <u/>
      <sz val="7.8"/>
      <color theme="10"/>
      <name val="Calibri"/>
      <family val="2"/>
    </font>
    <font>
      <sz val="10"/>
      <color theme="1"/>
      <name val="Arial"/>
      <family val="2"/>
    </font>
    <font>
      <b/>
      <sz val="11"/>
      <color theme="1"/>
      <name val="Calibri"/>
      <family val="2"/>
      <scheme val="minor"/>
    </font>
    <font>
      <b/>
      <u/>
      <sz val="11"/>
      <color theme="10"/>
      <name val="Calibri"/>
      <family val="2"/>
    </font>
    <font>
      <b/>
      <sz val="18"/>
      <color theme="1"/>
      <name val="Calibri"/>
      <family val="2"/>
      <scheme val="minor"/>
    </font>
    <font>
      <b/>
      <sz val="12"/>
      <color theme="1"/>
      <name val="Arial"/>
      <family val="2"/>
    </font>
    <font>
      <b/>
      <u/>
      <sz val="8"/>
      <color theme="10"/>
      <name val="Arial"/>
      <family val="2"/>
    </font>
    <font>
      <b/>
      <sz val="8"/>
      <color theme="1"/>
      <name val="Arial"/>
      <family val="2"/>
    </font>
    <font>
      <sz val="8"/>
      <color theme="1"/>
      <name val="Arial"/>
      <family val="2"/>
    </font>
    <font>
      <b/>
      <sz val="11"/>
      <color rgb="FFFF0000"/>
      <name val="Arial"/>
      <family val="2"/>
    </font>
    <font>
      <sz val="11"/>
      <color rgb="FF000000"/>
      <name val="Calibri"/>
      <family val="2"/>
      <scheme val="minor"/>
    </font>
    <font>
      <u/>
      <sz val="11"/>
      <color theme="10"/>
      <name val="Calibri"/>
      <family val="2"/>
      <scheme val="minor"/>
    </font>
    <font>
      <sz val="12"/>
      <color theme="1"/>
      <name val="Arial Narrow"/>
      <family val="2"/>
    </font>
    <font>
      <sz val="12"/>
      <color rgb="FF000000"/>
      <name val="Calibri"/>
      <family val="2"/>
      <scheme val="minor"/>
    </font>
    <font>
      <sz val="11"/>
      <name val="Calibri"/>
      <family val="2"/>
      <scheme val="minor"/>
    </font>
    <font>
      <u/>
      <sz val="11"/>
      <color theme="10"/>
      <name val="Calibri"/>
      <family val="2"/>
    </font>
    <font>
      <sz val="11"/>
      <color rgb="FFFFFFFF"/>
      <name val="Calibri"/>
      <family val="2"/>
    </font>
    <font>
      <sz val="11"/>
      <name val="Calibri"/>
      <family val="2"/>
    </font>
    <font>
      <b/>
      <sz val="14"/>
      <color rgb="FFFF0000"/>
      <name val="Calibri"/>
      <family val="2"/>
      <scheme val="minor"/>
    </font>
    <font>
      <b/>
      <sz val="11"/>
      <color theme="0"/>
      <name val="Calibri"/>
      <family val="2"/>
      <scheme val="minor"/>
    </font>
    <font>
      <sz val="11"/>
      <color theme="0"/>
      <name val="Calibri"/>
      <family val="2"/>
    </font>
    <font>
      <sz val="11"/>
      <color rgb="FFFF0000"/>
      <name val="Calibri"/>
      <family val="2"/>
      <scheme val="minor"/>
    </font>
    <font>
      <b/>
      <sz val="9"/>
      <color rgb="FF000000"/>
      <name val="Tahoma"/>
      <family val="2"/>
    </font>
    <font>
      <sz val="9"/>
      <color rgb="FF000000"/>
      <name val="Tahoma"/>
      <family val="2"/>
    </font>
    <font>
      <u/>
      <sz val="7.8"/>
      <color rgb="FFFF0000"/>
      <name val="Calibri"/>
      <family val="2"/>
    </font>
    <font>
      <u/>
      <sz val="7.8"/>
      <name val="Calibri"/>
      <family val="2"/>
    </font>
    <font>
      <sz val="8"/>
      <color theme="1"/>
      <name val="Arial Narrow"/>
      <family val="2"/>
    </font>
    <font>
      <b/>
      <sz val="8"/>
      <color theme="1"/>
      <name val="Arial Narrow"/>
      <family val="2"/>
    </font>
    <font>
      <b/>
      <sz val="8"/>
      <color rgb="FF000000"/>
      <name val="Arial Narrow"/>
      <family val="2"/>
    </font>
    <font>
      <sz val="8"/>
      <color rgb="FF000000"/>
      <name val="Arial Narrow"/>
      <family val="2"/>
    </font>
    <font>
      <b/>
      <sz val="8"/>
      <name val="Arial Narrow"/>
      <family val="2"/>
    </font>
    <font>
      <sz val="8"/>
      <name val="Arial Narrow"/>
      <family val="2"/>
    </font>
    <font>
      <sz val="8"/>
      <color rgb="FFFF0000"/>
      <name val="Arial Narrow"/>
      <family val="2"/>
    </font>
    <font>
      <b/>
      <sz val="12"/>
      <color rgb="FF000000"/>
      <name val="Calibri"/>
      <family val="2"/>
      <scheme val="minor"/>
    </font>
    <font>
      <sz val="12"/>
      <color rgb="FF333333"/>
      <name val="Calibri"/>
      <family val="2"/>
      <scheme val="minor"/>
    </font>
    <font>
      <sz val="8"/>
      <name val="Calibri"/>
      <family val="2"/>
      <scheme val="minor"/>
    </font>
    <font>
      <b/>
      <sz val="16"/>
      <color theme="1"/>
      <name val="Calibri"/>
      <family val="2"/>
      <scheme val="minor"/>
    </font>
    <font>
      <b/>
      <sz val="12"/>
      <color theme="1"/>
      <name val="Calibri"/>
      <family val="2"/>
      <scheme val="minor"/>
    </font>
    <font>
      <b/>
      <sz val="10"/>
      <color theme="1"/>
      <name val="Arial Narrow"/>
      <family val="2"/>
    </font>
    <font>
      <b/>
      <sz val="11"/>
      <color theme="1"/>
      <name val="Arial Narrow"/>
      <family val="2"/>
    </font>
    <font>
      <sz val="12"/>
      <name val="Calibri"/>
      <family val="2"/>
      <scheme val="minor"/>
    </font>
    <font>
      <sz val="11"/>
      <name val="Arial"/>
      <family val="2"/>
    </font>
    <font>
      <sz val="11"/>
      <color theme="1"/>
      <name val="Arial"/>
      <family val="2"/>
    </font>
    <font>
      <b/>
      <u/>
      <sz val="11"/>
      <color theme="10"/>
      <name val="Arial"/>
      <family val="2"/>
    </font>
    <font>
      <b/>
      <sz val="11"/>
      <color theme="1"/>
      <name val="Arial"/>
      <family val="2"/>
    </font>
    <font>
      <sz val="11"/>
      <color rgb="FF000000"/>
      <name val="Arial"/>
      <family val="2"/>
    </font>
    <font>
      <u/>
      <sz val="11"/>
      <color theme="10"/>
      <name val="Arial"/>
      <family val="2"/>
    </font>
    <font>
      <b/>
      <sz val="12"/>
      <color rgb="FF000000"/>
      <name val="Tahoma"/>
      <family val="2"/>
    </font>
    <font>
      <sz val="12"/>
      <color rgb="FF000000"/>
      <name val="Tahoma"/>
      <family val="2"/>
    </font>
    <font>
      <b/>
      <u/>
      <sz val="12"/>
      <color theme="1"/>
      <name val="Calibri"/>
      <family val="2"/>
      <scheme val="minor"/>
    </font>
    <font>
      <b/>
      <sz val="20"/>
      <color theme="1"/>
      <name val="Calibri"/>
      <family val="2"/>
      <scheme val="minor"/>
    </font>
    <font>
      <b/>
      <sz val="12"/>
      <name val="Calibri"/>
      <family val="2"/>
      <scheme val="minor"/>
    </font>
    <font>
      <b/>
      <u/>
      <sz val="12"/>
      <color theme="10"/>
      <name val="Calibri"/>
      <family val="2"/>
      <scheme val="minor"/>
    </font>
    <font>
      <b/>
      <sz val="12"/>
      <color rgb="FFFF0000"/>
      <name val="Calibri"/>
      <family val="2"/>
      <scheme val="minor"/>
    </font>
    <font>
      <u/>
      <sz val="12"/>
      <color theme="10"/>
      <name val="Calibri"/>
      <family val="2"/>
      <scheme val="minor"/>
    </font>
    <font>
      <sz val="12"/>
      <color rgb="FFFF0000"/>
      <name val="Calibri (Cuerpo)"/>
    </font>
    <font>
      <sz val="20"/>
      <color theme="1"/>
      <name val="Calibri"/>
      <family val="2"/>
      <scheme val="minor"/>
    </font>
  </fonts>
  <fills count="32">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60497A"/>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8CBAD"/>
        <bgColor rgb="FF000000"/>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00"/>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59999389629810485"/>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2" borderId="0">
      <alignment horizontal="center" vertical="center"/>
    </xf>
    <xf numFmtId="0" fontId="15" fillId="0" borderId="0" applyNumberFormat="0" applyFill="0" applyBorder="0" applyAlignment="0" applyProtection="0">
      <alignment vertical="top"/>
      <protection locked="0"/>
    </xf>
    <xf numFmtId="166" fontId="14" fillId="0" borderId="0" applyFont="0" applyFill="0" applyBorder="0" applyAlignment="0" applyProtection="0"/>
    <xf numFmtId="167"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4" fontId="14" fillId="0" borderId="0" applyFont="0" applyFill="0" applyBorder="0" applyAlignment="0" applyProtection="0"/>
    <xf numFmtId="167" fontId="14" fillId="0" borderId="0" applyFont="0" applyFill="0" applyBorder="0" applyAlignment="0" applyProtection="0"/>
    <xf numFmtId="0" fontId="6" fillId="0" borderId="0"/>
    <xf numFmtId="0" fontId="14" fillId="0" borderId="0"/>
    <xf numFmtId="0" fontId="16" fillId="0" borderId="0"/>
    <xf numFmtId="0" fontId="26" fillId="0" borderId="0" applyNumberFormat="0" applyFill="0" applyBorder="0" applyAlignment="0" applyProtection="0"/>
    <xf numFmtId="44" fontId="14" fillId="0" borderId="0" applyFont="0" applyFill="0" applyBorder="0" applyAlignment="0" applyProtection="0"/>
  </cellStyleXfs>
  <cellXfs count="740">
    <xf numFmtId="0" fontId="0" fillId="0" borderId="0" xfId="0"/>
    <xf numFmtId="0" fontId="19" fillId="0" borderId="0" xfId="0" applyFont="1" applyAlignment="1">
      <alignment horizontal="center" vertical="center"/>
    </xf>
    <xf numFmtId="0" fontId="0" fillId="0" borderId="0" xfId="0" applyAlignment="1">
      <alignment horizontal="center"/>
    </xf>
    <xf numFmtId="0" fontId="10" fillId="2" borderId="1" xfId="1" applyFont="1" applyBorder="1" applyAlignment="1">
      <alignment horizontal="center" vertical="center" wrapText="1"/>
    </xf>
    <xf numFmtId="1" fontId="10" fillId="2" borderId="1" xfId="1" applyNumberFormat="1" applyFont="1" applyBorder="1" applyAlignment="1" applyProtection="1">
      <alignment horizontal="center" vertical="center" wrapText="1"/>
      <protection locked="0"/>
    </xf>
    <xf numFmtId="0" fontId="21" fillId="3" borderId="1" xfId="2" applyFont="1" applyFill="1" applyBorder="1" applyAlignment="1" applyProtection="1">
      <alignment horizontal="center" vertical="center" wrapText="1"/>
    </xf>
    <xf numFmtId="0" fontId="11" fillId="2" borderId="1" xfId="1" applyFont="1" applyBorder="1" applyAlignment="1">
      <alignment horizontal="center" vertical="center" wrapText="1"/>
    </xf>
    <xf numFmtId="0" fontId="22" fillId="3" borderId="1" xfId="0" applyFont="1" applyFill="1" applyBorder="1" applyAlignment="1">
      <alignment horizontal="center" vertical="center"/>
    </xf>
    <xf numFmtId="1" fontId="11" fillId="2" borderId="1" xfId="1" applyNumberFormat="1" applyFont="1" applyBorder="1" applyAlignment="1" applyProtection="1">
      <alignment horizontal="center" vertical="center" wrapText="1"/>
      <protection locked="0"/>
    </xf>
    <xf numFmtId="0" fontId="23" fillId="0" borderId="0" xfId="0" applyFont="1"/>
    <xf numFmtId="0" fontId="0" fillId="0" borderId="0" xfId="0" applyAlignment="1">
      <alignment horizontal="right"/>
    </xf>
    <xf numFmtId="0" fontId="0" fillId="0" borderId="0" xfId="0" applyAlignment="1">
      <alignment vertical="center"/>
    </xf>
    <xf numFmtId="0" fontId="24" fillId="2" borderId="1" xfId="1" applyFont="1" applyBorder="1" applyAlignment="1">
      <alignment horizontal="center" vertical="center" wrapText="1"/>
    </xf>
    <xf numFmtId="0" fontId="0" fillId="0" borderId="1" xfId="0" applyBorder="1"/>
    <xf numFmtId="0" fontId="10" fillId="4" borderId="1" xfId="1" applyFont="1" applyFill="1" applyBorder="1" applyAlignment="1">
      <alignment horizontal="center" vertical="center" wrapText="1"/>
    </xf>
    <xf numFmtId="0" fontId="27" fillId="0" borderId="1" xfId="0" applyFont="1" applyBorder="1" applyAlignment="1">
      <alignment vertical="center" wrapText="1"/>
    </xf>
    <xf numFmtId="0" fontId="0" fillId="0" borderId="1" xfId="0" applyBorder="1" applyAlignment="1">
      <alignment vertical="center" wrapText="1"/>
    </xf>
    <xf numFmtId="1" fontId="10" fillId="0" borderId="1" xfId="1" applyNumberFormat="1" applyFont="1" applyFill="1" applyBorder="1" applyAlignment="1" applyProtection="1">
      <alignment horizontal="center" vertical="center" wrapText="1"/>
      <protection locked="0"/>
    </xf>
    <xf numFmtId="0" fontId="0" fillId="0" borderId="1" xfId="0" applyBorder="1" applyAlignment="1">
      <alignment horizontal="right" vertical="center" wrapText="1"/>
    </xf>
    <xf numFmtId="0" fontId="0" fillId="6" borderId="1" xfId="0" applyFill="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horizontal="center" vertical="center"/>
    </xf>
    <xf numFmtId="168" fontId="0" fillId="0" borderId="1" xfId="0" applyNumberFormat="1" applyBorder="1" applyAlignment="1">
      <alignment horizontal="right" vertical="center"/>
    </xf>
    <xf numFmtId="0" fontId="29" fillId="7" borderId="1" xfId="4" applyNumberFormat="1" applyFont="1" applyFill="1" applyBorder="1" applyAlignment="1" applyProtection="1">
      <alignment horizontal="right" vertical="center"/>
      <protection locked="0"/>
    </xf>
    <xf numFmtId="0" fontId="30" fillId="7" borderId="1" xfId="2" applyFont="1" applyFill="1" applyBorder="1" applyAlignment="1" applyProtection="1">
      <alignment vertical="center"/>
      <protection locked="0"/>
    </xf>
    <xf numFmtId="0" fontId="0" fillId="0" borderId="1" xfId="0" applyBorder="1" applyAlignment="1">
      <alignment horizontal="right" vertical="center"/>
    </xf>
    <xf numFmtId="0" fontId="30" fillId="0" borderId="1" xfId="2" applyFont="1" applyBorder="1" applyAlignment="1" applyProtection="1">
      <alignment vertical="center"/>
    </xf>
    <xf numFmtId="0" fontId="25" fillId="0" borderId="1" xfId="0" applyFont="1" applyBorder="1" applyAlignment="1">
      <alignment horizontal="left" vertical="center"/>
    </xf>
    <xf numFmtId="0" fontId="25" fillId="0" borderId="1" xfId="0" applyFont="1" applyBorder="1" applyAlignment="1">
      <alignment horizontal="center" vertical="center"/>
    </xf>
    <xf numFmtId="0" fontId="25" fillId="5" borderId="1" xfId="0" applyFont="1" applyFill="1" applyBorder="1" applyAlignment="1">
      <alignment horizontal="left" vertical="center"/>
    </xf>
    <xf numFmtId="0" fontId="25" fillId="5" borderId="1" xfId="0" applyFont="1" applyFill="1" applyBorder="1" applyAlignment="1">
      <alignment horizontal="center" vertical="center"/>
    </xf>
    <xf numFmtId="168" fontId="0" fillId="6" borderId="1" xfId="0" applyNumberFormat="1" applyFill="1" applyBorder="1" applyAlignment="1">
      <alignment horizontal="right" vertical="center"/>
    </xf>
    <xf numFmtId="0" fontId="0" fillId="10" borderId="0" xfId="0" applyFill="1"/>
    <xf numFmtId="0" fontId="0" fillId="11" borderId="0" xfId="0" applyFill="1"/>
    <xf numFmtId="0" fontId="13" fillId="2" borderId="1" xfId="1" applyFont="1" applyBorder="1" applyAlignment="1">
      <alignment horizontal="center" vertical="center" wrapText="1"/>
    </xf>
    <xf numFmtId="0" fontId="0" fillId="0" borderId="1" xfId="0" applyBorder="1" applyAlignment="1">
      <alignment horizontal="left" vertical="center"/>
    </xf>
    <xf numFmtId="0" fontId="0" fillId="0" borderId="0" xfId="0" pivotButton="1"/>
    <xf numFmtId="0" fontId="0" fillId="0" borderId="0" xfId="0" applyAlignment="1">
      <alignment horizontal="left"/>
    </xf>
    <xf numFmtId="44" fontId="0" fillId="0" borderId="1" xfId="13" applyFont="1" applyBorder="1"/>
    <xf numFmtId="0" fontId="31" fillId="12" borderId="1" xfId="0" applyFont="1" applyFill="1" applyBorder="1" applyAlignment="1">
      <alignment wrapText="1"/>
    </xf>
    <xf numFmtId="0" fontId="32" fillId="0" borderId="1" xfId="0" applyFont="1" applyBorder="1" applyAlignment="1">
      <alignment wrapText="1"/>
    </xf>
    <xf numFmtId="0" fontId="17" fillId="13" borderId="1" xfId="0" applyFont="1" applyFill="1" applyBorder="1"/>
    <xf numFmtId="44" fontId="17" fillId="13" borderId="1" xfId="13" applyFont="1" applyFill="1" applyBorder="1"/>
    <xf numFmtId="0" fontId="0" fillId="0" borderId="1" xfId="0" applyBorder="1" applyAlignment="1">
      <alignment horizontal="left" indent="2"/>
    </xf>
    <xf numFmtId="168" fontId="0" fillId="14" borderId="1" xfId="0" applyNumberFormat="1" applyFill="1" applyBorder="1" applyAlignment="1">
      <alignment horizontal="right" vertical="center"/>
    </xf>
    <xf numFmtId="0" fontId="15" fillId="0" borderId="1" xfId="2" applyBorder="1" applyAlignment="1" applyProtection="1">
      <alignment vertical="center"/>
    </xf>
    <xf numFmtId="165" fontId="0" fillId="0" borderId="0" xfId="5" applyFont="1"/>
    <xf numFmtId="0" fontId="31" fillId="12" borderId="5" xfId="0" applyFont="1" applyFill="1" applyBorder="1" applyAlignment="1">
      <alignment wrapText="1"/>
    </xf>
    <xf numFmtId="165" fontId="17" fillId="13" borderId="1" xfId="5" applyFont="1" applyFill="1" applyBorder="1"/>
    <xf numFmtId="165" fontId="0" fillId="0" borderId="1" xfId="5" applyFont="1" applyBorder="1"/>
    <xf numFmtId="0" fontId="0" fillId="0" borderId="6" xfId="0" applyBorder="1"/>
    <xf numFmtId="0" fontId="26" fillId="0" borderId="1" xfId="2" applyFont="1" applyBorder="1" applyAlignment="1" applyProtection="1">
      <alignment vertical="center"/>
    </xf>
    <xf numFmtId="0" fontId="25" fillId="0" borderId="1" xfId="0" applyFont="1" applyBorder="1" applyAlignment="1">
      <alignment vertical="center"/>
    </xf>
    <xf numFmtId="0" fontId="0" fillId="9" borderId="1" xfId="0" applyFill="1" applyBorder="1" applyAlignment="1">
      <alignment vertical="center"/>
    </xf>
    <xf numFmtId="168" fontId="0" fillId="9" borderId="1" xfId="0" applyNumberFormat="1" applyFill="1" applyBorder="1" applyAlignment="1">
      <alignment horizontal="right" vertical="center"/>
    </xf>
    <xf numFmtId="0" fontId="26" fillId="9" borderId="1" xfId="2" applyFont="1" applyFill="1" applyBorder="1" applyAlignment="1" applyProtection="1">
      <alignment vertical="center"/>
    </xf>
    <xf numFmtId="0" fontId="0" fillId="11" borderId="1" xfId="0" applyFill="1" applyBorder="1" applyAlignment="1">
      <alignment vertical="center"/>
    </xf>
    <xf numFmtId="168" fontId="0" fillId="11" borderId="1" xfId="0" applyNumberFormat="1" applyFill="1" applyBorder="1" applyAlignment="1">
      <alignment horizontal="right" vertical="center"/>
    </xf>
    <xf numFmtId="0" fontId="26" fillId="11" borderId="1" xfId="2" applyFont="1" applyFill="1" applyBorder="1" applyAlignment="1" applyProtection="1">
      <alignment vertical="center"/>
    </xf>
    <xf numFmtId="0" fontId="0" fillId="7" borderId="1" xfId="0" applyFill="1" applyBorder="1" applyAlignment="1">
      <alignment vertical="center"/>
    </xf>
    <xf numFmtId="168" fontId="0" fillId="8" borderId="1" xfId="0" applyNumberFormat="1" applyFill="1" applyBorder="1" applyAlignment="1">
      <alignment horizontal="right" vertical="center"/>
    </xf>
    <xf numFmtId="0" fontId="27" fillId="0" borderId="1" xfId="0" applyFont="1" applyBorder="1" applyAlignment="1">
      <alignment vertical="center"/>
    </xf>
    <xf numFmtId="168" fontId="0" fillId="0" borderId="0" xfId="0" applyNumberFormat="1" applyAlignment="1">
      <alignment horizontal="center"/>
    </xf>
    <xf numFmtId="168" fontId="10" fillId="2" borderId="1" xfId="1" applyNumberFormat="1" applyFont="1" applyBorder="1" applyAlignment="1" applyProtection="1">
      <alignment horizontal="center" vertical="center" wrapText="1"/>
      <protection locked="0"/>
    </xf>
    <xf numFmtId="168" fontId="0" fillId="0" borderId="0" xfId="0" applyNumberFormat="1"/>
    <xf numFmtId="0" fontId="0" fillId="15" borderId="1" xfId="0" applyFill="1" applyBorder="1" applyAlignment="1">
      <alignment vertical="center"/>
    </xf>
    <xf numFmtId="0" fontId="35" fillId="16" borderId="5" xfId="0" applyFont="1" applyFill="1" applyBorder="1" applyAlignment="1">
      <alignment wrapText="1"/>
    </xf>
    <xf numFmtId="0" fontId="34" fillId="16" borderId="0" xfId="0" applyFont="1" applyFill="1" applyAlignment="1">
      <alignment horizontal="center" vertical="center"/>
    </xf>
    <xf numFmtId="0" fontId="0" fillId="17" borderId="1" xfId="0" applyFill="1" applyBorder="1" applyAlignment="1">
      <alignment vertical="center"/>
    </xf>
    <xf numFmtId="0" fontId="0" fillId="17" borderId="1" xfId="0" applyFill="1" applyBorder="1"/>
    <xf numFmtId="0" fontId="0" fillId="18" borderId="1" xfId="0" applyFill="1" applyBorder="1"/>
    <xf numFmtId="0" fontId="10" fillId="2" borderId="1" xfId="1" applyFont="1" applyBorder="1">
      <alignment horizontal="center" vertical="center"/>
    </xf>
    <xf numFmtId="168" fontId="29" fillId="0" borderId="1" xfId="0" applyNumberFormat="1" applyFont="1" applyBorder="1" applyAlignment="1">
      <alignment horizontal="right" vertical="center"/>
    </xf>
    <xf numFmtId="168" fontId="29" fillId="17" borderId="1" xfId="4" applyNumberFormat="1" applyFont="1" applyFill="1" applyBorder="1" applyAlignment="1">
      <alignment horizontal="right" vertical="center"/>
    </xf>
    <xf numFmtId="168" fontId="0" fillId="6" borderId="1" xfId="4" applyNumberFormat="1" applyFont="1" applyFill="1" applyBorder="1" applyAlignment="1">
      <alignment horizontal="right" vertical="center" wrapText="1"/>
    </xf>
    <xf numFmtId="168" fontId="0" fillId="6" borderId="1" xfId="0" applyNumberFormat="1" applyFill="1" applyBorder="1" applyAlignment="1">
      <alignment horizontal="right" vertical="center" wrapText="1"/>
    </xf>
    <xf numFmtId="168" fontId="29" fillId="6" borderId="1" xfId="4" applyNumberFormat="1" applyFont="1" applyFill="1" applyBorder="1" applyAlignment="1">
      <alignment horizontal="right" vertical="center"/>
    </xf>
    <xf numFmtId="168" fontId="29" fillId="6" borderId="1" xfId="5" applyNumberFormat="1" applyFont="1" applyFill="1" applyBorder="1" applyAlignment="1">
      <alignment horizontal="right" vertical="center"/>
    </xf>
    <xf numFmtId="168" fontId="0" fillId="6" borderId="1" xfId="4" applyNumberFormat="1" applyFont="1" applyFill="1" applyBorder="1" applyAlignment="1">
      <alignment horizontal="right" vertical="center"/>
    </xf>
    <xf numFmtId="168" fontId="29" fillId="6" borderId="1" xfId="0" applyNumberFormat="1" applyFont="1" applyFill="1" applyBorder="1" applyAlignment="1">
      <alignment horizontal="right" vertical="center"/>
    </xf>
    <xf numFmtId="168" fontId="29" fillId="6" borderId="1" xfId="0" applyNumberFormat="1" applyFont="1" applyFill="1" applyBorder="1" applyAlignment="1">
      <alignment horizontal="right"/>
    </xf>
    <xf numFmtId="165" fontId="0" fillId="0" borderId="0" xfId="0" applyNumberFormat="1"/>
    <xf numFmtId="0" fontId="0" fillId="9" borderId="1" xfId="0" applyFill="1" applyBorder="1" applyAlignment="1">
      <alignment horizontal="center" vertical="center"/>
    </xf>
    <xf numFmtId="0" fontId="0" fillId="11" borderId="1" xfId="0" applyFill="1" applyBorder="1" applyAlignment="1">
      <alignment horizontal="center" vertical="center"/>
    </xf>
    <xf numFmtId="0" fontId="0" fillId="17" borderId="1" xfId="0" applyFill="1" applyBorder="1" applyAlignment="1">
      <alignment horizontal="center"/>
    </xf>
    <xf numFmtId="168" fontId="0" fillId="0" borderId="1" xfId="0" applyNumberFormat="1" applyBorder="1" applyAlignment="1">
      <alignment horizontal="left" vertical="center"/>
    </xf>
    <xf numFmtId="0" fontId="0" fillId="6" borderId="1" xfId="0" applyFill="1" applyBorder="1" applyAlignment="1">
      <alignment vertical="center"/>
    </xf>
    <xf numFmtId="0" fontId="0" fillId="6" borderId="1" xfId="0" applyFill="1" applyBorder="1" applyAlignment="1">
      <alignment horizontal="center" vertical="center"/>
    </xf>
    <xf numFmtId="168" fontId="0" fillId="6" borderId="1" xfId="0" applyNumberFormat="1" applyFill="1" applyBorder="1" applyAlignment="1">
      <alignment horizontal="left" vertical="center"/>
    </xf>
    <xf numFmtId="0" fontId="30" fillId="6" borderId="1" xfId="2" applyFont="1" applyFill="1" applyBorder="1" applyAlignment="1" applyProtection="1">
      <alignment vertical="center"/>
    </xf>
    <xf numFmtId="0" fontId="0" fillId="18" borderId="1" xfId="0" applyFill="1" applyBorder="1" applyAlignment="1">
      <alignment vertical="center"/>
    </xf>
    <xf numFmtId="0" fontId="0" fillId="18" borderId="1" xfId="0" applyFill="1" applyBorder="1" applyAlignment="1">
      <alignment horizontal="center" vertical="center"/>
    </xf>
    <xf numFmtId="168" fontId="0" fillId="18" borderId="1" xfId="0" applyNumberFormat="1" applyFill="1" applyBorder="1" applyAlignment="1">
      <alignment horizontal="right" vertical="center"/>
    </xf>
    <xf numFmtId="168" fontId="0" fillId="18" borderId="1" xfId="0" applyNumberFormat="1" applyFill="1" applyBorder="1" applyAlignment="1">
      <alignment horizontal="left" vertical="center"/>
    </xf>
    <xf numFmtId="0" fontId="30" fillId="18" borderId="1" xfId="2" applyFont="1" applyFill="1" applyBorder="1" applyAlignment="1" applyProtection="1">
      <alignment vertical="center"/>
    </xf>
    <xf numFmtId="0" fontId="0" fillId="19" borderId="1" xfId="0" applyFill="1" applyBorder="1" applyAlignment="1">
      <alignment vertical="center"/>
    </xf>
    <xf numFmtId="0" fontId="0" fillId="19" borderId="1" xfId="0" applyFill="1" applyBorder="1" applyAlignment="1">
      <alignment horizontal="center" vertical="center"/>
    </xf>
    <xf numFmtId="168" fontId="0" fillId="19" borderId="1" xfId="0" applyNumberFormat="1" applyFill="1" applyBorder="1" applyAlignment="1">
      <alignment horizontal="right" vertical="center"/>
    </xf>
    <xf numFmtId="168" fontId="0" fillId="19" borderId="1" xfId="0" applyNumberFormat="1" applyFill="1" applyBorder="1" applyAlignment="1">
      <alignment horizontal="left" vertical="center"/>
    </xf>
    <xf numFmtId="0" fontId="30" fillId="19" borderId="1" xfId="2" applyFont="1" applyFill="1" applyBorder="1" applyAlignment="1" applyProtection="1">
      <alignment vertical="center"/>
    </xf>
    <xf numFmtId="0" fontId="0" fillId="6" borderId="1" xfId="0" applyFill="1" applyBorder="1" applyAlignment="1">
      <alignment horizontal="right" vertical="center"/>
    </xf>
    <xf numFmtId="0" fontId="0" fillId="19" borderId="1" xfId="0" applyFill="1" applyBorder="1" applyAlignment="1">
      <alignment horizontal="right" vertical="center"/>
    </xf>
    <xf numFmtId="0" fontId="25" fillId="18" borderId="1" xfId="0" applyFont="1" applyFill="1" applyBorder="1" applyAlignment="1">
      <alignment vertical="center"/>
    </xf>
    <xf numFmtId="0" fontId="26" fillId="18" borderId="1" xfId="2" applyFont="1" applyFill="1" applyBorder="1" applyAlignment="1" applyProtection="1">
      <alignment vertical="center"/>
    </xf>
    <xf numFmtId="0" fontId="25" fillId="6" borderId="1" xfId="0" applyFont="1" applyFill="1" applyBorder="1" applyAlignment="1">
      <alignment vertical="center"/>
    </xf>
    <xf numFmtId="0" fontId="26" fillId="6" borderId="1" xfId="2" applyFont="1" applyFill="1" applyBorder="1" applyAlignment="1" applyProtection="1">
      <alignment vertical="center"/>
    </xf>
    <xf numFmtId="0" fontId="29" fillId="6" borderId="1" xfId="4" applyNumberFormat="1" applyFont="1" applyFill="1" applyBorder="1" applyAlignment="1" applyProtection="1">
      <alignment horizontal="right" vertical="center"/>
      <protection locked="0"/>
    </xf>
    <xf numFmtId="0" fontId="25" fillId="6" borderId="1" xfId="0" applyFont="1" applyFill="1" applyBorder="1" applyAlignment="1">
      <alignment horizontal="left" vertical="center"/>
    </xf>
    <xf numFmtId="0" fontId="25" fillId="6" borderId="1" xfId="0" applyFont="1" applyFill="1" applyBorder="1" applyAlignment="1">
      <alignment horizontal="center" vertical="center"/>
    </xf>
    <xf numFmtId="0" fontId="0" fillId="6" borderId="1" xfId="0" applyFill="1" applyBorder="1" applyAlignment="1">
      <alignment horizontal="left" vertical="center"/>
    </xf>
    <xf numFmtId="0" fontId="25" fillId="19" borderId="1" xfId="0" applyFont="1" applyFill="1" applyBorder="1" applyAlignment="1">
      <alignment horizontal="left" vertical="center"/>
    </xf>
    <xf numFmtId="0" fontId="25" fillId="19" borderId="1" xfId="0" applyFont="1" applyFill="1" applyBorder="1" applyAlignment="1">
      <alignment horizontal="center" vertical="center"/>
    </xf>
    <xf numFmtId="0" fontId="0" fillId="6" borderId="1" xfId="0" applyFill="1" applyBorder="1" applyAlignment="1">
      <alignment horizontal="center" vertical="center" wrapText="1"/>
    </xf>
    <xf numFmtId="0" fontId="30" fillId="6" borderId="1" xfId="2" applyFont="1" applyFill="1" applyBorder="1" applyAlignment="1" applyProtection="1">
      <alignment vertical="center"/>
      <protection locked="0"/>
    </xf>
    <xf numFmtId="172" fontId="0" fillId="17" borderId="1" xfId="0" applyNumberFormat="1" applyFill="1" applyBorder="1" applyAlignment="1">
      <alignment vertical="center"/>
    </xf>
    <xf numFmtId="0" fontId="0" fillId="8" borderId="1" xfId="0" applyFill="1" applyBorder="1" applyAlignment="1">
      <alignment vertical="center"/>
    </xf>
    <xf numFmtId="0" fontId="0" fillId="6" borderId="1" xfId="0" applyFill="1" applyBorder="1"/>
    <xf numFmtId="0" fontId="0" fillId="6" borderId="0" xfId="0" applyFill="1"/>
    <xf numFmtId="168" fontId="0" fillId="17" borderId="1" xfId="0" applyNumberFormat="1" applyFill="1" applyBorder="1" applyAlignment="1">
      <alignment horizontal="right" vertical="center"/>
    </xf>
    <xf numFmtId="0" fontId="25" fillId="17" borderId="1" xfId="0" applyFont="1" applyFill="1" applyBorder="1" applyAlignment="1">
      <alignment vertical="center"/>
    </xf>
    <xf numFmtId="0" fontId="26" fillId="17" borderId="1" xfId="2" applyFont="1" applyFill="1" applyBorder="1" applyAlignment="1" applyProtection="1">
      <alignment vertical="center"/>
    </xf>
    <xf numFmtId="0" fontId="0" fillId="17" borderId="0" xfId="0" applyFill="1"/>
    <xf numFmtId="0" fontId="27" fillId="17" borderId="1" xfId="0" applyFont="1" applyFill="1" applyBorder="1" applyAlignment="1">
      <alignment vertical="center" wrapText="1"/>
    </xf>
    <xf numFmtId="0" fontId="0" fillId="8" borderId="1" xfId="0" applyFill="1" applyBorder="1"/>
    <xf numFmtId="0" fontId="25" fillId="8" borderId="1" xfId="0" applyFont="1" applyFill="1" applyBorder="1" applyAlignment="1">
      <alignment vertical="center"/>
    </xf>
    <xf numFmtId="0" fontId="26" fillId="8" borderId="1" xfId="2" applyFont="1" applyFill="1" applyBorder="1" applyAlignment="1" applyProtection="1">
      <alignment vertical="center"/>
    </xf>
    <xf numFmtId="0" fontId="0" fillId="8" borderId="0" xfId="0" applyFill="1"/>
    <xf numFmtId="0" fontId="0" fillId="17" borderId="1" xfId="0" applyFill="1" applyBorder="1" applyAlignment="1">
      <alignment horizontal="right" vertical="center"/>
    </xf>
    <xf numFmtId="0" fontId="0" fillId="17" borderId="1" xfId="0" applyFill="1" applyBorder="1" applyAlignment="1">
      <alignment horizontal="center" vertical="center"/>
    </xf>
    <xf numFmtId="0" fontId="30" fillId="17" borderId="1" xfId="2" applyFont="1" applyFill="1" applyBorder="1" applyAlignment="1" applyProtection="1">
      <alignment vertical="center"/>
    </xf>
    <xf numFmtId="0" fontId="0" fillId="17" borderId="6" xfId="0" applyFill="1" applyBorder="1"/>
    <xf numFmtId="0" fontId="0" fillId="8" borderId="1" xfId="0" applyFill="1" applyBorder="1" applyAlignment="1">
      <alignment horizontal="right" vertical="center"/>
    </xf>
    <xf numFmtId="0" fontId="0" fillId="8" borderId="1" xfId="0" applyFill="1" applyBorder="1" applyAlignment="1">
      <alignment horizontal="center" vertical="center"/>
    </xf>
    <xf numFmtId="0" fontId="30" fillId="8" borderId="1" xfId="2" applyFont="1" applyFill="1" applyBorder="1" applyAlignment="1" applyProtection="1">
      <alignment vertical="center"/>
    </xf>
    <xf numFmtId="0" fontId="0" fillId="6" borderId="1" xfId="0" applyFill="1" applyBorder="1" applyAlignment="1">
      <alignment horizontal="center"/>
    </xf>
    <xf numFmtId="169" fontId="0" fillId="6" borderId="1" xfId="4" applyNumberFormat="1" applyFont="1" applyFill="1" applyBorder="1" applyAlignment="1">
      <alignment horizontal="right" vertical="center" wrapText="1"/>
    </xf>
    <xf numFmtId="0" fontId="26" fillId="6" borderId="1" xfId="2" applyFont="1" applyFill="1" applyBorder="1" applyAlignment="1" applyProtection="1"/>
    <xf numFmtId="171" fontId="0" fillId="6" borderId="1" xfId="0" applyNumberFormat="1" applyFill="1" applyBorder="1" applyAlignment="1">
      <alignment horizontal="right" vertical="center" wrapText="1"/>
    </xf>
    <xf numFmtId="0" fontId="0" fillId="6" borderId="1" xfId="0" applyFill="1" applyBorder="1" applyAlignment="1">
      <alignment wrapText="1"/>
    </xf>
    <xf numFmtId="171" fontId="29" fillId="6" borderId="1" xfId="0" applyNumberFormat="1" applyFont="1" applyFill="1" applyBorder="1" applyAlignment="1">
      <alignment horizontal="right"/>
    </xf>
    <xf numFmtId="0" fontId="26" fillId="17" borderId="1" xfId="2" applyFont="1" applyFill="1" applyBorder="1" applyAlignment="1" applyProtection="1"/>
    <xf numFmtId="0" fontId="0" fillId="18" borderId="0" xfId="0" applyFill="1"/>
    <xf numFmtId="168" fontId="0" fillId="17" borderId="1" xfId="0" applyNumberFormat="1" applyFill="1" applyBorder="1" applyAlignment="1">
      <alignment horizontal="left" vertical="center"/>
    </xf>
    <xf numFmtId="0" fontId="0" fillId="17" borderId="1" xfId="0" applyFill="1" applyBorder="1" applyAlignment="1">
      <alignment horizontal="left"/>
    </xf>
    <xf numFmtId="168" fontId="0" fillId="8" borderId="1" xfId="0" applyNumberFormat="1" applyFill="1" applyBorder="1" applyAlignment="1">
      <alignment horizontal="left" vertical="center"/>
    </xf>
    <xf numFmtId="168" fontId="0" fillId="9" borderId="1" xfId="0" applyNumberFormat="1" applyFill="1" applyBorder="1" applyAlignment="1">
      <alignment horizontal="left" vertical="center"/>
    </xf>
    <xf numFmtId="168" fontId="0" fillId="19" borderId="1" xfId="0" applyNumberFormat="1" applyFill="1" applyBorder="1" applyAlignment="1">
      <alignment horizontal="left" vertical="center" wrapText="1"/>
    </xf>
    <xf numFmtId="168" fontId="0" fillId="6" borderId="1" xfId="0" applyNumberFormat="1" applyFill="1" applyBorder="1" applyAlignment="1">
      <alignment vertical="center"/>
    </xf>
    <xf numFmtId="0" fontId="10" fillId="0" borderId="1" xfId="1" applyFont="1" applyFill="1" applyBorder="1" applyAlignment="1">
      <alignment horizontal="left" vertical="center" wrapText="1"/>
    </xf>
    <xf numFmtId="170" fontId="0" fillId="6" borderId="1" xfId="0" applyNumberFormat="1" applyFill="1" applyBorder="1" applyAlignment="1">
      <alignment horizontal="left" vertical="center"/>
    </xf>
    <xf numFmtId="168" fontId="14" fillId="17" borderId="1" xfId="4" applyNumberFormat="1" applyFont="1" applyFill="1" applyBorder="1" applyAlignment="1">
      <alignment horizontal="left" vertical="center"/>
    </xf>
    <xf numFmtId="168" fontId="0" fillId="6" borderId="1" xfId="4" applyNumberFormat="1" applyFont="1" applyFill="1" applyBorder="1" applyAlignment="1">
      <alignment horizontal="left" vertical="center"/>
    </xf>
    <xf numFmtId="0" fontId="10" fillId="2" borderId="1" xfId="1" applyFont="1" applyBorder="1" applyAlignment="1">
      <alignment horizontal="right" vertical="center" wrapText="1"/>
    </xf>
    <xf numFmtId="0" fontId="0" fillId="9" borderId="1" xfId="0" applyFill="1" applyBorder="1" applyAlignment="1">
      <alignment horizontal="right" vertical="center"/>
    </xf>
    <xf numFmtId="0" fontId="0" fillId="18" borderId="1" xfId="0" applyFill="1" applyBorder="1" applyAlignment="1">
      <alignment horizontal="right" vertical="center"/>
    </xf>
    <xf numFmtId="0" fontId="0" fillId="11" borderId="4" xfId="0" applyFill="1" applyBorder="1" applyAlignment="1">
      <alignment horizontal="right" vertical="center"/>
    </xf>
    <xf numFmtId="0" fontId="0" fillId="11" borderId="1" xfId="0" applyFill="1" applyBorder="1" applyAlignment="1">
      <alignment horizontal="right" vertical="center"/>
    </xf>
    <xf numFmtId="0" fontId="30" fillId="6" borderId="1" xfId="2" applyFont="1" applyFill="1" applyBorder="1" applyAlignment="1" applyProtection="1">
      <alignment horizontal="right" vertical="center"/>
    </xf>
    <xf numFmtId="0" fontId="30" fillId="0" borderId="1" xfId="2" applyFont="1" applyBorder="1" applyAlignment="1" applyProtection="1">
      <alignment horizontal="right" vertical="center"/>
    </xf>
    <xf numFmtId="0" fontId="0" fillId="6" borderId="1" xfId="0" applyFill="1" applyBorder="1" applyAlignment="1">
      <alignment horizontal="right"/>
    </xf>
    <xf numFmtId="0" fontId="0" fillId="17" borderId="1" xfId="0" applyFill="1" applyBorder="1" applyAlignment="1">
      <alignment horizontal="right"/>
    </xf>
    <xf numFmtId="0" fontId="0" fillId="6" borderId="6" xfId="0" applyFill="1" applyBorder="1" applyAlignment="1">
      <alignment vertical="center"/>
    </xf>
    <xf numFmtId="0" fontId="0" fillId="0" borderId="6" xfId="0" applyBorder="1" applyAlignment="1">
      <alignment vertical="center"/>
    </xf>
    <xf numFmtId="0" fontId="0" fillId="17" borderId="6" xfId="0" applyFill="1" applyBorder="1" applyAlignment="1">
      <alignment vertical="center"/>
    </xf>
    <xf numFmtId="0" fontId="0" fillId="8" borderId="6" xfId="0" applyFill="1" applyBorder="1" applyAlignment="1">
      <alignment vertical="center"/>
    </xf>
    <xf numFmtId="0" fontId="0" fillId="18" borderId="6" xfId="0" applyFill="1" applyBorder="1" applyAlignment="1">
      <alignment vertical="center"/>
    </xf>
    <xf numFmtId="0" fontId="0" fillId="15" borderId="6" xfId="0" applyFill="1" applyBorder="1" applyAlignment="1">
      <alignment vertical="center"/>
    </xf>
    <xf numFmtId="0" fontId="0" fillId="11" borderId="6" xfId="0" applyFill="1" applyBorder="1" applyAlignment="1">
      <alignment vertical="center"/>
    </xf>
    <xf numFmtId="0" fontId="0" fillId="19" borderId="6" xfId="0" applyFill="1" applyBorder="1" applyAlignment="1">
      <alignment vertical="center"/>
    </xf>
    <xf numFmtId="168" fontId="0" fillId="17" borderId="6" xfId="0" applyNumberFormat="1" applyFill="1" applyBorder="1" applyAlignment="1">
      <alignment horizontal="right" vertical="center"/>
    </xf>
    <xf numFmtId="168" fontId="0" fillId="0" borderId="6" xfId="0" applyNumberFormat="1" applyBorder="1" applyAlignment="1">
      <alignment horizontal="right" vertical="center"/>
    </xf>
    <xf numFmtId="168" fontId="0" fillId="8" borderId="6" xfId="0" applyNumberFormat="1" applyFill="1" applyBorder="1" applyAlignment="1">
      <alignment horizontal="right" vertical="center"/>
    </xf>
    <xf numFmtId="168" fontId="0" fillId="6" borderId="6" xfId="0" applyNumberFormat="1" applyFill="1" applyBorder="1" applyAlignment="1">
      <alignment horizontal="right" vertical="center"/>
    </xf>
    <xf numFmtId="0" fontId="0" fillId="10" borderId="1" xfId="0" applyFill="1" applyBorder="1"/>
    <xf numFmtId="0" fontId="0" fillId="11" borderId="1" xfId="0" applyFill="1" applyBorder="1"/>
    <xf numFmtId="0" fontId="7" fillId="0" borderId="5" xfId="9" applyFont="1" applyBorder="1" applyAlignment="1">
      <alignment horizontal="left" vertical="center" wrapText="1"/>
    </xf>
    <xf numFmtId="0" fontId="0" fillId="0" borderId="5" xfId="0" applyBorder="1" applyAlignment="1">
      <alignment vertical="center"/>
    </xf>
    <xf numFmtId="168" fontId="0" fillId="0" borderId="5" xfId="0" applyNumberFormat="1" applyBorder="1" applyAlignment="1">
      <alignment horizontal="right" vertical="center"/>
    </xf>
    <xf numFmtId="168" fontId="0" fillId="14" borderId="5" xfId="0" applyNumberFormat="1" applyFill="1" applyBorder="1" applyAlignment="1">
      <alignment horizontal="right" vertical="center"/>
    </xf>
    <xf numFmtId="0" fontId="25" fillId="0" borderId="5" xfId="0" applyFont="1" applyBorder="1" applyAlignment="1">
      <alignment vertical="center"/>
    </xf>
    <xf numFmtId="0" fontId="0" fillId="0" borderId="5" xfId="0" applyBorder="1" applyAlignment="1">
      <alignment horizontal="right" vertical="center"/>
    </xf>
    <xf numFmtId="0" fontId="26" fillId="0" borderId="5" xfId="2" applyFont="1" applyBorder="1" applyAlignment="1" applyProtection="1">
      <alignment vertical="center"/>
    </xf>
    <xf numFmtId="0" fontId="0" fillId="0" borderId="5" xfId="0" applyBorder="1" applyAlignment="1">
      <alignment horizontal="center" vertical="center"/>
    </xf>
    <xf numFmtId="168" fontId="0" fillId="0" borderId="5" xfId="0" applyNumberFormat="1" applyBorder="1" applyAlignment="1">
      <alignment horizontal="left" vertical="center"/>
    </xf>
    <xf numFmtId="0" fontId="0" fillId="0" borderId="5" xfId="0" applyBorder="1"/>
    <xf numFmtId="0" fontId="29" fillId="7" borderId="5" xfId="4" applyNumberFormat="1" applyFont="1" applyFill="1" applyBorder="1" applyAlignment="1" applyProtection="1">
      <alignment horizontal="right" vertical="center"/>
      <protection locked="0"/>
    </xf>
    <xf numFmtId="0" fontId="30" fillId="7" borderId="5" xfId="2" applyFont="1" applyFill="1" applyBorder="1" applyAlignment="1" applyProtection="1">
      <alignment vertical="center"/>
      <protection locked="0"/>
    </xf>
    <xf numFmtId="0" fontId="0" fillId="19" borderId="5" xfId="0" applyFill="1" applyBorder="1" applyAlignment="1">
      <alignment horizontal="right" vertical="center"/>
    </xf>
    <xf numFmtId="0" fontId="0" fillId="19" borderId="5" xfId="0" applyFill="1" applyBorder="1" applyAlignment="1">
      <alignment vertical="center"/>
    </xf>
    <xf numFmtId="0" fontId="0" fillId="19" borderId="5" xfId="0" applyFill="1" applyBorder="1" applyAlignment="1">
      <alignment horizontal="center" vertical="center"/>
    </xf>
    <xf numFmtId="168" fontId="0" fillId="19" borderId="5" xfId="0" applyNumberFormat="1" applyFill="1" applyBorder="1" applyAlignment="1">
      <alignment horizontal="right" vertical="center"/>
    </xf>
    <xf numFmtId="168" fontId="0" fillId="19" borderId="5" xfId="0" applyNumberFormat="1" applyFill="1" applyBorder="1" applyAlignment="1">
      <alignment horizontal="left" vertical="center"/>
    </xf>
    <xf numFmtId="0" fontId="30" fillId="19" borderId="5" xfId="2" applyFont="1" applyFill="1" applyBorder="1" applyAlignment="1" applyProtection="1">
      <alignment horizontal="right" vertical="center"/>
    </xf>
    <xf numFmtId="0" fontId="30" fillId="0" borderId="5" xfId="2" applyFont="1" applyBorder="1" applyAlignment="1" applyProtection="1">
      <alignment vertical="center"/>
    </xf>
    <xf numFmtId="0" fontId="30" fillId="19" borderId="5" xfId="2" applyFont="1" applyFill="1" applyBorder="1" applyAlignment="1" applyProtection="1">
      <alignment vertical="center"/>
    </xf>
    <xf numFmtId="0" fontId="0" fillId="17" borderId="5" xfId="0" applyFill="1" applyBorder="1"/>
    <xf numFmtId="0" fontId="0" fillId="17" borderId="5" xfId="0" applyFill="1" applyBorder="1" applyAlignment="1">
      <alignment vertical="center"/>
    </xf>
    <xf numFmtId="0" fontId="0" fillId="17" borderId="5" xfId="0" applyFill="1" applyBorder="1" applyAlignment="1">
      <alignment horizontal="center" vertical="center"/>
    </xf>
    <xf numFmtId="0" fontId="0" fillId="17" borderId="5" xfId="0" applyFill="1" applyBorder="1" applyAlignment="1">
      <alignment horizontal="center"/>
    </xf>
    <xf numFmtId="168" fontId="36" fillId="17" borderId="5" xfId="4" applyNumberFormat="1" applyFont="1" applyFill="1" applyBorder="1" applyAlignment="1">
      <alignment horizontal="right" vertical="center"/>
    </xf>
    <xf numFmtId="0" fontId="0" fillId="18" borderId="5" xfId="0" applyFill="1" applyBorder="1"/>
    <xf numFmtId="0" fontId="0" fillId="18" borderId="5" xfId="0" applyFill="1" applyBorder="1" applyAlignment="1">
      <alignment horizontal="center"/>
    </xf>
    <xf numFmtId="168" fontId="29" fillId="18" borderId="5" xfId="4" applyNumberFormat="1" applyFont="1" applyFill="1" applyBorder="1" applyAlignment="1">
      <alignment horizontal="right" vertical="center"/>
    </xf>
    <xf numFmtId="168" fontId="29" fillId="18" borderId="5" xfId="4" applyNumberFormat="1" applyFont="1" applyFill="1" applyBorder="1" applyAlignment="1">
      <alignment horizontal="left" vertical="center"/>
    </xf>
    <xf numFmtId="0" fontId="0" fillId="18" borderId="5" xfId="0" applyFill="1" applyBorder="1" applyAlignment="1">
      <alignment vertical="center"/>
    </xf>
    <xf numFmtId="168" fontId="0" fillId="18" borderId="5" xfId="0" applyNumberFormat="1" applyFill="1" applyBorder="1" applyAlignment="1">
      <alignment horizontal="right" vertical="center"/>
    </xf>
    <xf numFmtId="0" fontId="0" fillId="18" borderId="5" xfId="0" applyFill="1" applyBorder="1" applyAlignment="1">
      <alignment horizontal="right"/>
    </xf>
    <xf numFmtId="0" fontId="26" fillId="18" borderId="5" xfId="2" applyFont="1" applyFill="1" applyBorder="1" applyAlignment="1" applyProtection="1"/>
    <xf numFmtId="168" fontId="29" fillId="17" borderId="5" xfId="4" applyNumberFormat="1" applyFont="1" applyFill="1" applyBorder="1" applyAlignment="1">
      <alignment horizontal="right" vertical="center"/>
    </xf>
    <xf numFmtId="168" fontId="0" fillId="17" borderId="5" xfId="4" applyNumberFormat="1" applyFont="1" applyFill="1" applyBorder="1" applyAlignment="1">
      <alignment horizontal="left" vertical="center"/>
    </xf>
    <xf numFmtId="168" fontId="0" fillId="17" borderId="5" xfId="0" applyNumberFormat="1" applyFill="1" applyBorder="1" applyAlignment="1">
      <alignment horizontal="right" vertical="center"/>
    </xf>
    <xf numFmtId="0" fontId="0" fillId="17" borderId="5" xfId="0" applyFill="1" applyBorder="1" applyAlignment="1">
      <alignment horizontal="right"/>
    </xf>
    <xf numFmtId="0" fontId="26" fillId="17" borderId="5" xfId="2" applyFont="1" applyFill="1" applyBorder="1" applyAlignment="1" applyProtection="1"/>
    <xf numFmtId="0" fontId="0" fillId="0" borderId="4" xfId="0" applyBorder="1" applyAlignment="1">
      <alignment vertical="center"/>
    </xf>
    <xf numFmtId="168" fontId="0" fillId="0" borderId="4" xfId="0" applyNumberFormat="1" applyBorder="1" applyAlignment="1">
      <alignment horizontal="right" vertical="center"/>
    </xf>
    <xf numFmtId="0" fontId="0" fillId="0" borderId="4" xfId="0" applyBorder="1" applyAlignment="1">
      <alignment horizontal="right" vertical="center"/>
    </xf>
    <xf numFmtId="0" fontId="26" fillId="0" borderId="4" xfId="2" applyFont="1" applyBorder="1" applyAlignment="1" applyProtection="1">
      <alignment vertical="center"/>
    </xf>
    <xf numFmtId="0" fontId="27" fillId="0" borderId="4" xfId="0" applyFont="1" applyBorder="1" applyAlignment="1">
      <alignment vertical="center" wrapText="1"/>
    </xf>
    <xf numFmtId="168" fontId="0" fillId="14" borderId="4" xfId="0" applyNumberFormat="1" applyFill="1" applyBorder="1" applyAlignment="1">
      <alignment horizontal="right" vertical="center"/>
    </xf>
    <xf numFmtId="168" fontId="0" fillId="0" borderId="4" xfId="0" applyNumberFormat="1" applyBorder="1" applyAlignment="1">
      <alignment horizontal="left" vertical="center"/>
    </xf>
    <xf numFmtId="0" fontId="25" fillId="0" borderId="4" xfId="0" applyFont="1" applyBorder="1" applyAlignment="1">
      <alignment vertical="center"/>
    </xf>
    <xf numFmtId="0" fontId="0" fillId="18" borderId="4" xfId="0" applyFill="1" applyBorder="1" applyAlignment="1">
      <alignment vertical="center"/>
    </xf>
    <xf numFmtId="0" fontId="0" fillId="18" borderId="4" xfId="0" applyFill="1" applyBorder="1" applyAlignment="1">
      <alignment horizontal="center" vertical="center"/>
    </xf>
    <xf numFmtId="168" fontId="0" fillId="18" borderId="4" xfId="0" applyNumberFormat="1" applyFill="1" applyBorder="1" applyAlignment="1">
      <alignment horizontal="right" vertical="center"/>
    </xf>
    <xf numFmtId="168" fontId="0" fillId="18" borderId="4" xfId="0" applyNumberFormat="1" applyFill="1" applyBorder="1" applyAlignment="1">
      <alignment horizontal="left" vertical="center"/>
    </xf>
    <xf numFmtId="0" fontId="25" fillId="18" borderId="4" xfId="0" applyFont="1" applyFill="1" applyBorder="1" applyAlignment="1">
      <alignment vertical="center"/>
    </xf>
    <xf numFmtId="0" fontId="0" fillId="18" borderId="4" xfId="0" applyFill="1" applyBorder="1" applyAlignment="1">
      <alignment horizontal="right" vertical="center"/>
    </xf>
    <xf numFmtId="0" fontId="26" fillId="18" borderId="4" xfId="2" applyFont="1" applyFill="1" applyBorder="1" applyAlignment="1" applyProtection="1">
      <alignment vertical="center"/>
    </xf>
    <xf numFmtId="0" fontId="0" fillId="0" borderId="4" xfId="0" applyBorder="1"/>
    <xf numFmtId="0" fontId="0" fillId="15" borderId="4" xfId="0" applyFill="1" applyBorder="1" applyAlignment="1">
      <alignment vertical="center"/>
    </xf>
    <xf numFmtId="0" fontId="0" fillId="15" borderId="4" xfId="0" applyFill="1" applyBorder="1" applyAlignment="1">
      <alignment horizontal="center" vertical="center"/>
    </xf>
    <xf numFmtId="168" fontId="0" fillId="15" borderId="4" xfId="0" applyNumberFormat="1" applyFill="1" applyBorder="1" applyAlignment="1">
      <alignment horizontal="right" vertical="center"/>
    </xf>
    <xf numFmtId="168" fontId="0" fillId="15" borderId="4" xfId="0" applyNumberFormat="1" applyFill="1" applyBorder="1" applyAlignment="1">
      <alignment horizontal="left" vertical="center"/>
    </xf>
    <xf numFmtId="0" fontId="25" fillId="15" borderId="4" xfId="0" applyFont="1" applyFill="1" applyBorder="1" applyAlignment="1">
      <alignment vertical="center"/>
    </xf>
    <xf numFmtId="0" fontId="0" fillId="15" borderId="4" xfId="0" applyFill="1" applyBorder="1" applyAlignment="1">
      <alignment horizontal="right" vertical="center"/>
    </xf>
    <xf numFmtId="0" fontId="26" fillId="15" borderId="4" xfId="2" applyFont="1" applyFill="1" applyBorder="1" applyAlignment="1" applyProtection="1">
      <alignment vertical="center"/>
    </xf>
    <xf numFmtId="0" fontId="0" fillId="0" borderId="4" xfId="0" applyBorder="1" applyAlignment="1">
      <alignment horizontal="center" vertical="center"/>
    </xf>
    <xf numFmtId="0" fontId="29" fillId="7" borderId="4" xfId="4" applyNumberFormat="1" applyFont="1" applyFill="1" applyBorder="1" applyAlignment="1" applyProtection="1">
      <alignment horizontal="right" vertical="center"/>
      <protection locked="0"/>
    </xf>
    <xf numFmtId="0" fontId="30" fillId="7" borderId="4" xfId="2" applyFont="1" applyFill="1" applyBorder="1" applyAlignment="1" applyProtection="1">
      <alignment vertical="center"/>
      <protection locked="0"/>
    </xf>
    <xf numFmtId="0" fontId="0" fillId="0" borderId="7" xfId="0" applyBorder="1" applyAlignment="1">
      <alignment horizontal="right" vertical="center"/>
    </xf>
    <xf numFmtId="0" fontId="0" fillId="0" borderId="7" xfId="0" applyBorder="1" applyAlignment="1">
      <alignment vertical="center"/>
    </xf>
    <xf numFmtId="0" fontId="0" fillId="0" borderId="7" xfId="0" applyBorder="1" applyAlignment="1">
      <alignment horizontal="center" vertical="center"/>
    </xf>
    <xf numFmtId="168" fontId="0" fillId="0" borderId="7" xfId="0" applyNumberFormat="1" applyBorder="1" applyAlignment="1">
      <alignment horizontal="right" vertical="center"/>
    </xf>
    <xf numFmtId="168" fontId="0" fillId="14" borderId="7" xfId="0" applyNumberFormat="1" applyFill="1" applyBorder="1" applyAlignment="1">
      <alignment horizontal="right" vertical="center"/>
    </xf>
    <xf numFmtId="168" fontId="0" fillId="0" borderId="7" xfId="0" applyNumberFormat="1" applyBorder="1" applyAlignment="1">
      <alignment horizontal="left" vertical="center"/>
    </xf>
    <xf numFmtId="0" fontId="30" fillId="0" borderId="7" xfId="2" applyFont="1" applyBorder="1" applyAlignment="1" applyProtection="1">
      <alignment horizontal="right" vertical="center"/>
    </xf>
    <xf numFmtId="0" fontId="0" fillId="0" borderId="7" xfId="0" applyBorder="1"/>
    <xf numFmtId="0" fontId="30" fillId="0" borderId="4" xfId="2" applyFont="1" applyBorder="1" applyAlignment="1" applyProtection="1">
      <alignment horizontal="right" vertical="center"/>
    </xf>
    <xf numFmtId="0" fontId="25" fillId="0" borderId="4" xfId="0" applyFont="1" applyBorder="1" applyAlignment="1">
      <alignment horizontal="left" vertical="center"/>
    </xf>
    <xf numFmtId="0" fontId="25" fillId="0" borderId="4" xfId="0" applyFont="1" applyBorder="1" applyAlignment="1">
      <alignment horizontal="center" vertical="center"/>
    </xf>
    <xf numFmtId="168" fontId="0" fillId="8" borderId="7" xfId="0" applyNumberFormat="1" applyFill="1" applyBorder="1" applyAlignment="1">
      <alignment horizontal="right" vertical="center"/>
    </xf>
    <xf numFmtId="0" fontId="30" fillId="0" borderId="7" xfId="2" applyFont="1" applyBorder="1" applyAlignment="1" applyProtection="1">
      <alignment vertical="center"/>
    </xf>
    <xf numFmtId="0" fontId="30" fillId="0" borderId="4" xfId="2" applyFont="1" applyBorder="1" applyAlignment="1" applyProtection="1">
      <alignment vertical="center"/>
    </xf>
    <xf numFmtId="0" fontId="30" fillId="0" borderId="4" xfId="2" applyFont="1" applyFill="1" applyBorder="1" applyAlignment="1" applyProtection="1">
      <alignment vertical="center"/>
    </xf>
    <xf numFmtId="0" fontId="0" fillId="17" borderId="7" xfId="0" applyFill="1" applyBorder="1"/>
    <xf numFmtId="0" fontId="0" fillId="17" borderId="7" xfId="0" applyFill="1" applyBorder="1" applyAlignment="1">
      <alignment vertical="center"/>
    </xf>
    <xf numFmtId="0" fontId="0" fillId="17" borderId="7" xfId="0" applyFill="1" applyBorder="1" applyAlignment="1">
      <alignment horizontal="center" vertical="center"/>
    </xf>
    <xf numFmtId="0" fontId="0" fillId="17" borderId="7" xfId="0" applyFill="1" applyBorder="1" applyAlignment="1">
      <alignment horizontal="center"/>
    </xf>
    <xf numFmtId="168" fontId="36" fillId="17" borderId="7" xfId="0" applyNumberFormat="1" applyFont="1" applyFill="1" applyBorder="1" applyAlignment="1">
      <alignment horizontal="right" vertical="center"/>
    </xf>
    <xf numFmtId="0" fontId="0" fillId="17" borderId="4" xfId="0" applyFill="1" applyBorder="1"/>
    <xf numFmtId="0" fontId="0" fillId="17" borderId="4" xfId="0" applyFill="1" applyBorder="1" applyAlignment="1">
      <alignment vertical="center"/>
    </xf>
    <xf numFmtId="0" fontId="0" fillId="17" borderId="4" xfId="0" applyFill="1" applyBorder="1" applyAlignment="1">
      <alignment horizontal="center" vertical="center"/>
    </xf>
    <xf numFmtId="0" fontId="0" fillId="17" borderId="4" xfId="0" applyFill="1" applyBorder="1" applyAlignment="1">
      <alignment horizontal="center"/>
    </xf>
    <xf numFmtId="168" fontId="0" fillId="17" borderId="4" xfId="4" applyNumberFormat="1" applyFont="1" applyFill="1" applyBorder="1" applyAlignment="1">
      <alignment horizontal="right" vertical="center"/>
    </xf>
    <xf numFmtId="0" fontId="0" fillId="18" borderId="4" xfId="0" applyFill="1" applyBorder="1"/>
    <xf numFmtId="0" fontId="0" fillId="18" borderId="4" xfId="0" applyFill="1" applyBorder="1" applyAlignment="1">
      <alignment horizontal="center"/>
    </xf>
    <xf numFmtId="168" fontId="29" fillId="18" borderId="4" xfId="4" applyNumberFormat="1" applyFont="1" applyFill="1" applyBorder="1" applyAlignment="1">
      <alignment horizontal="right" vertical="center"/>
    </xf>
    <xf numFmtId="168" fontId="29" fillId="18" borderId="4" xfId="4" applyNumberFormat="1" applyFont="1" applyFill="1" applyBorder="1" applyAlignment="1">
      <alignment horizontal="left" vertical="center"/>
    </xf>
    <xf numFmtId="0" fontId="0" fillId="18" borderId="4" xfId="0" applyFill="1" applyBorder="1" applyAlignment="1">
      <alignment horizontal="right"/>
    </xf>
    <xf numFmtId="0" fontId="26" fillId="18" borderId="4" xfId="2" applyFont="1" applyFill="1" applyBorder="1" applyAlignment="1" applyProtection="1"/>
    <xf numFmtId="168" fontId="29" fillId="17" borderId="4" xfId="4" applyNumberFormat="1" applyFont="1" applyFill="1" applyBorder="1" applyAlignment="1">
      <alignment horizontal="right" vertical="center"/>
    </xf>
    <xf numFmtId="168" fontId="14" fillId="17" borderId="4" xfId="4" applyNumberFormat="1" applyFont="1" applyFill="1" applyBorder="1" applyAlignment="1">
      <alignment horizontal="left" vertical="center"/>
    </xf>
    <xf numFmtId="168" fontId="0" fillId="17" borderId="4" xfId="0" applyNumberFormat="1" applyFill="1" applyBorder="1" applyAlignment="1">
      <alignment horizontal="right" vertical="center"/>
    </xf>
    <xf numFmtId="0" fontId="0" fillId="17" borderId="4" xfId="0" applyFill="1" applyBorder="1" applyAlignment="1">
      <alignment horizontal="right"/>
    </xf>
    <xf numFmtId="0" fontId="26" fillId="17" borderId="4" xfId="2" applyFont="1" applyFill="1" applyBorder="1" applyAlignment="1" applyProtection="1"/>
    <xf numFmtId="170" fontId="0" fillId="17" borderId="7" xfId="0" applyNumberFormat="1" applyFill="1" applyBorder="1" applyAlignment="1">
      <alignment horizontal="left" vertical="center"/>
    </xf>
    <xf numFmtId="168" fontId="0" fillId="17" borderId="7" xfId="0" applyNumberFormat="1" applyFill="1" applyBorder="1" applyAlignment="1">
      <alignment horizontal="right" vertical="center"/>
    </xf>
    <xf numFmtId="0" fontId="0" fillId="17" borderId="7" xfId="0" applyFill="1" applyBorder="1" applyAlignment="1">
      <alignment horizontal="right"/>
    </xf>
    <xf numFmtId="0" fontId="26" fillId="17" borderId="7" xfId="2" applyFont="1" applyFill="1" applyBorder="1" applyAlignment="1" applyProtection="1"/>
    <xf numFmtId="170" fontId="0" fillId="17" borderId="4" xfId="0" applyNumberFormat="1" applyFill="1" applyBorder="1" applyAlignment="1">
      <alignment horizontal="left" vertical="center"/>
    </xf>
    <xf numFmtId="170" fontId="0" fillId="17" borderId="5" xfId="0" applyNumberFormat="1" applyFill="1" applyBorder="1" applyAlignment="1">
      <alignment horizontal="left" vertical="center"/>
    </xf>
    <xf numFmtId="0" fontId="20" fillId="0" borderId="8" xfId="0" applyFont="1" applyBorder="1" applyAlignment="1">
      <alignment horizontal="right" vertical="center"/>
    </xf>
    <xf numFmtId="0" fontId="18" fillId="3" borderId="1" xfId="2" applyFont="1" applyFill="1" applyBorder="1" applyAlignment="1" applyProtection="1">
      <alignment horizontal="right" vertical="center" wrapText="1"/>
    </xf>
    <xf numFmtId="0" fontId="0" fillId="6" borderId="1" xfId="0" applyFill="1" applyBorder="1" applyAlignment="1">
      <alignment horizontal="right" vertical="center" wrapText="1"/>
    </xf>
    <xf numFmtId="0" fontId="29" fillId="6" borderId="1" xfId="0" applyFont="1" applyFill="1" applyBorder="1" applyAlignment="1">
      <alignment horizontal="right" vertical="center"/>
    </xf>
    <xf numFmtId="0" fontId="29" fillId="17" borderId="7" xfId="0" applyFont="1" applyFill="1" applyBorder="1" applyAlignment="1">
      <alignment horizontal="right" vertical="center"/>
    </xf>
    <xf numFmtId="0" fontId="29" fillId="17" borderId="4" xfId="0" applyFont="1" applyFill="1" applyBorder="1" applyAlignment="1">
      <alignment horizontal="right" vertical="center"/>
    </xf>
    <xf numFmtId="0" fontId="29" fillId="17" borderId="5" xfId="0" applyFont="1" applyFill="1" applyBorder="1" applyAlignment="1">
      <alignment horizontal="right" vertical="center"/>
    </xf>
    <xf numFmtId="0" fontId="29" fillId="18" borderId="4" xfId="0" applyFont="1" applyFill="1" applyBorder="1" applyAlignment="1">
      <alignment horizontal="right" vertical="center"/>
    </xf>
    <xf numFmtId="0" fontId="29" fillId="18" borderId="5" xfId="0" applyFont="1" applyFill="1" applyBorder="1" applyAlignment="1">
      <alignment horizontal="right" vertical="center"/>
    </xf>
    <xf numFmtId="0" fontId="17" fillId="3" borderId="1"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17" borderId="1" xfId="0" applyFill="1" applyBorder="1" applyAlignment="1">
      <alignment horizontal="left" vertical="center"/>
    </xf>
    <xf numFmtId="0" fontId="0" fillId="8" borderId="1" xfId="0" applyFill="1" applyBorder="1" applyAlignment="1">
      <alignment horizontal="left" vertical="center"/>
    </xf>
    <xf numFmtId="0" fontId="0" fillId="9" borderId="1" xfId="0" applyFill="1" applyBorder="1" applyAlignment="1">
      <alignment horizontal="left" vertical="center"/>
    </xf>
    <xf numFmtId="0" fontId="0" fillId="18" borderId="1" xfId="0" applyFill="1" applyBorder="1" applyAlignment="1">
      <alignment horizontal="left" vertical="center"/>
    </xf>
    <xf numFmtId="0" fontId="0" fillId="18" borderId="4" xfId="0" applyFill="1" applyBorder="1" applyAlignment="1">
      <alignment horizontal="left" vertical="center"/>
    </xf>
    <xf numFmtId="0" fontId="0" fillId="15" borderId="4" xfId="0" applyFill="1" applyBorder="1" applyAlignment="1">
      <alignment horizontal="left" vertical="center"/>
    </xf>
    <xf numFmtId="0" fontId="0" fillId="11" borderId="1" xfId="0" applyFill="1" applyBorder="1" applyAlignment="1">
      <alignment horizontal="left" vertical="center"/>
    </xf>
    <xf numFmtId="0" fontId="0" fillId="6" borderId="1" xfId="0" applyFill="1" applyBorder="1" applyAlignment="1">
      <alignment horizontal="left"/>
    </xf>
    <xf numFmtId="0" fontId="0" fillId="0" borderId="4" xfId="0" applyBorder="1" applyAlignment="1">
      <alignment horizontal="left"/>
    </xf>
    <xf numFmtId="0" fontId="0" fillId="0" borderId="1" xfId="0" applyBorder="1" applyAlignment="1">
      <alignment horizontal="left"/>
    </xf>
    <xf numFmtId="0" fontId="0" fillId="0" borderId="5" xfId="0" applyBorder="1" applyAlignment="1">
      <alignment horizontal="left"/>
    </xf>
    <xf numFmtId="0" fontId="0" fillId="0" borderId="7" xfId="0" applyBorder="1" applyAlignment="1">
      <alignment horizontal="left" vertical="center"/>
    </xf>
    <xf numFmtId="0" fontId="0" fillId="19" borderId="5" xfId="0" applyFill="1" applyBorder="1" applyAlignment="1">
      <alignment horizontal="left" vertical="center"/>
    </xf>
    <xf numFmtId="0" fontId="0" fillId="19" borderId="1" xfId="0" applyFill="1" applyBorder="1" applyAlignment="1">
      <alignment horizontal="left" vertical="center"/>
    </xf>
    <xf numFmtId="0" fontId="0" fillId="17" borderId="7" xfId="0" applyFill="1" applyBorder="1" applyAlignment="1">
      <alignment horizontal="left"/>
    </xf>
    <xf numFmtId="0" fontId="0" fillId="17" borderId="4" xfId="0" applyFill="1" applyBorder="1" applyAlignment="1">
      <alignment horizontal="left"/>
    </xf>
    <xf numFmtId="0" fontId="0" fillId="17" borderId="5" xfId="0" applyFill="1" applyBorder="1" applyAlignment="1">
      <alignment horizontal="left"/>
    </xf>
    <xf numFmtId="0" fontId="0" fillId="18" borderId="4" xfId="0" applyFill="1" applyBorder="1" applyAlignment="1">
      <alignment horizontal="left"/>
    </xf>
    <xf numFmtId="0" fontId="0" fillId="18" borderId="5" xfId="0" applyFill="1" applyBorder="1" applyAlignment="1">
      <alignment horizontal="left"/>
    </xf>
    <xf numFmtId="0" fontId="20" fillId="0" borderId="9" xfId="0" applyFont="1" applyBorder="1" applyAlignment="1">
      <alignment horizontal="left" vertical="center" wrapText="1"/>
    </xf>
    <xf numFmtId="0" fontId="10" fillId="2" borderId="1" xfId="1" applyFont="1" applyBorder="1" applyAlignment="1">
      <alignment horizontal="left" vertical="center" wrapText="1"/>
    </xf>
    <xf numFmtId="0" fontId="0" fillId="18" borderId="0" xfId="0" applyFill="1" applyAlignment="1">
      <alignment horizontal="left"/>
    </xf>
    <xf numFmtId="0" fontId="0" fillId="17" borderId="1" xfId="0" applyFill="1" applyBorder="1" applyAlignment="1">
      <alignment vertical="center" wrapText="1"/>
    </xf>
    <xf numFmtId="0" fontId="36" fillId="6" borderId="1" xfId="0" applyFont="1" applyFill="1" applyBorder="1" applyAlignment="1">
      <alignment vertical="center"/>
    </xf>
    <xf numFmtId="0" fontId="36" fillId="6" borderId="1" xfId="0" applyFont="1" applyFill="1" applyBorder="1" applyAlignment="1">
      <alignment vertical="center" wrapText="1"/>
    </xf>
    <xf numFmtId="0" fontId="36" fillId="6" borderId="1" xfId="0" applyFont="1" applyFill="1" applyBorder="1" applyAlignment="1">
      <alignment horizontal="center" vertical="center"/>
    </xf>
    <xf numFmtId="168" fontId="36" fillId="6" borderId="1" xfId="0" applyNumberFormat="1" applyFont="1" applyFill="1" applyBorder="1" applyAlignment="1">
      <alignment horizontal="right" vertical="center"/>
    </xf>
    <xf numFmtId="0" fontId="39" fillId="6" borderId="1" xfId="2" applyFont="1" applyFill="1" applyBorder="1" applyAlignment="1" applyProtection="1">
      <alignment vertical="center"/>
    </xf>
    <xf numFmtId="0" fontId="15" fillId="6" borderId="1" xfId="2" applyFill="1" applyBorder="1" applyAlignment="1" applyProtection="1">
      <alignment vertical="center"/>
    </xf>
    <xf numFmtId="0" fontId="29" fillId="17" borderId="1" xfId="0" applyFont="1" applyFill="1" applyBorder="1" applyAlignment="1">
      <alignment horizontal="right" vertical="center"/>
    </xf>
    <xf numFmtId="0" fontId="29" fillId="17" borderId="1" xfId="0" applyFont="1" applyFill="1" applyBorder="1" applyAlignment="1">
      <alignment vertical="center"/>
    </xf>
    <xf numFmtId="0" fontId="29" fillId="17" borderId="1" xfId="0" applyFont="1" applyFill="1" applyBorder="1" applyAlignment="1">
      <alignment vertical="center" wrapText="1"/>
    </xf>
    <xf numFmtId="0" fontId="29" fillId="17" borderId="1" xfId="0" applyFont="1" applyFill="1" applyBorder="1" applyAlignment="1">
      <alignment horizontal="center" vertical="center"/>
    </xf>
    <xf numFmtId="168" fontId="29" fillId="17" borderId="1" xfId="0" applyNumberFormat="1" applyFont="1" applyFill="1" applyBorder="1" applyAlignment="1">
      <alignment horizontal="right" vertical="center"/>
    </xf>
    <xf numFmtId="0" fontId="40" fillId="17" borderId="1" xfId="2" applyFont="1" applyFill="1" applyBorder="1" applyAlignment="1" applyProtection="1">
      <alignment vertical="center"/>
    </xf>
    <xf numFmtId="0" fontId="0" fillId="17" borderId="7" xfId="0" applyFill="1" applyBorder="1" applyAlignment="1">
      <alignment horizontal="right" vertical="center"/>
    </xf>
    <xf numFmtId="0" fontId="0" fillId="17" borderId="4" xfId="0" applyFill="1" applyBorder="1" applyAlignment="1">
      <alignment horizontal="right" vertical="center"/>
    </xf>
    <xf numFmtId="0" fontId="0" fillId="17" borderId="5" xfId="0" applyFill="1" applyBorder="1" applyAlignment="1">
      <alignment horizontal="right" vertical="center"/>
    </xf>
    <xf numFmtId="0" fontId="0" fillId="18" borderId="5" xfId="0" applyFill="1" applyBorder="1" applyAlignment="1">
      <alignment horizontal="right" vertical="center"/>
    </xf>
    <xf numFmtId="0" fontId="36" fillId="6" borderId="1" xfId="0" applyFont="1" applyFill="1" applyBorder="1" applyAlignment="1">
      <alignment horizontal="center"/>
    </xf>
    <xf numFmtId="0" fontId="0" fillId="0" borderId="1" xfId="0" applyBorder="1" applyAlignment="1">
      <alignment horizontal="center"/>
    </xf>
    <xf numFmtId="0" fontId="29" fillId="17" borderId="1" xfId="0" applyFont="1" applyFill="1" applyBorder="1" applyAlignment="1">
      <alignment horizontal="center"/>
    </xf>
    <xf numFmtId="0" fontId="41" fillId="0" borderId="0" xfId="0" applyFont="1" applyAlignment="1">
      <alignment vertical="center"/>
    </xf>
    <xf numFmtId="0" fontId="41" fillId="0" borderId="0" xfId="0" applyFont="1" applyAlignment="1">
      <alignment horizontal="right" vertical="center"/>
    </xf>
    <xf numFmtId="0" fontId="41" fillId="0" borderId="0" xfId="0" applyFont="1" applyAlignment="1">
      <alignment horizontal="left" vertical="center"/>
    </xf>
    <xf numFmtId="0" fontId="42" fillId="20" borderId="10" xfId="0" applyFont="1" applyFill="1" applyBorder="1" applyAlignment="1">
      <alignment horizontal="center" vertical="center"/>
    </xf>
    <xf numFmtId="0" fontId="42" fillId="20" borderId="11" xfId="0" applyFont="1" applyFill="1" applyBorder="1" applyAlignment="1">
      <alignment horizontal="center" vertical="center"/>
    </xf>
    <xf numFmtId="0" fontId="43" fillId="21" borderId="1" xfId="0" applyFont="1" applyFill="1" applyBorder="1" applyAlignment="1">
      <alignment vertical="center" wrapText="1" readingOrder="1"/>
    </xf>
    <xf numFmtId="0" fontId="43" fillId="21" borderId="1" xfId="0" applyFont="1" applyFill="1" applyBorder="1" applyAlignment="1">
      <alignment horizontal="center" vertical="center" wrapText="1" readingOrder="1"/>
    </xf>
    <xf numFmtId="0" fontId="43" fillId="21" borderId="6" xfId="0" applyFont="1" applyFill="1" applyBorder="1" applyAlignment="1">
      <alignment horizontal="center" vertical="center" wrapText="1" readingOrder="1"/>
    </xf>
    <xf numFmtId="0" fontId="43" fillId="21" borderId="6" xfId="0" applyFont="1" applyFill="1" applyBorder="1" applyAlignment="1">
      <alignment vertical="center" wrapText="1" readingOrder="1"/>
    </xf>
    <xf numFmtId="0" fontId="43" fillId="22" borderId="1" xfId="0" applyFont="1" applyFill="1" applyBorder="1" applyAlignment="1">
      <alignment horizontal="left" vertical="center" wrapText="1" readingOrder="1"/>
    </xf>
    <xf numFmtId="0" fontId="43" fillId="22" borderId="1" xfId="0" applyFont="1" applyFill="1" applyBorder="1" applyAlignment="1">
      <alignment vertical="center" wrapText="1" readingOrder="1"/>
    </xf>
    <xf numFmtId="173" fontId="42" fillId="20" borderId="1" xfId="7" applyNumberFormat="1" applyFont="1" applyFill="1" applyBorder="1" applyAlignment="1">
      <alignment horizontal="right" vertical="center"/>
    </xf>
    <xf numFmtId="173" fontId="42" fillId="20" borderId="1" xfId="0" applyNumberFormat="1" applyFont="1" applyFill="1" applyBorder="1" applyAlignment="1">
      <alignment horizontal="left" vertical="center"/>
    </xf>
    <xf numFmtId="173" fontId="42" fillId="20" borderId="1" xfId="0" applyNumberFormat="1" applyFont="1" applyFill="1" applyBorder="1" applyAlignment="1">
      <alignment horizontal="center" vertical="center"/>
    </xf>
    <xf numFmtId="173" fontId="42" fillId="20" borderId="6" xfId="0" applyNumberFormat="1" applyFont="1" applyFill="1" applyBorder="1" applyAlignment="1">
      <alignment horizontal="center" vertical="center"/>
    </xf>
    <xf numFmtId="173" fontId="41" fillId="20" borderId="6" xfId="0" applyNumberFormat="1" applyFont="1" applyFill="1" applyBorder="1" applyAlignment="1">
      <alignment vertical="center"/>
    </xf>
    <xf numFmtId="0" fontId="42" fillId="20" borderId="1" xfId="0" applyFont="1" applyFill="1" applyBorder="1" applyAlignment="1">
      <alignment horizontal="left" vertical="center"/>
    </xf>
    <xf numFmtId="0" fontId="42" fillId="20" borderId="1" xfId="0" applyFont="1" applyFill="1" applyBorder="1" applyAlignment="1">
      <alignment horizontal="center" vertical="center"/>
    </xf>
    <xf numFmtId="0" fontId="42" fillId="20" borderId="6" xfId="0" applyFont="1" applyFill="1" applyBorder="1" applyAlignment="1">
      <alignment horizontal="center" vertical="center"/>
    </xf>
    <xf numFmtId="0" fontId="44" fillId="23" borderId="1" xfId="0" applyFont="1" applyFill="1" applyBorder="1" applyAlignment="1">
      <alignment horizontal="left" vertical="center" readingOrder="1"/>
    </xf>
    <xf numFmtId="0" fontId="44" fillId="23" borderId="1" xfId="0" applyFont="1" applyFill="1" applyBorder="1" applyAlignment="1">
      <alignment vertical="center" wrapText="1" readingOrder="1"/>
    </xf>
    <xf numFmtId="173" fontId="42" fillId="23" borderId="1" xfId="0" applyNumberFormat="1" applyFont="1" applyFill="1" applyBorder="1" applyAlignment="1">
      <alignment horizontal="right" vertical="center"/>
    </xf>
    <xf numFmtId="0" fontId="44" fillId="23" borderId="1" xfId="0" applyFont="1" applyFill="1" applyBorder="1" applyAlignment="1">
      <alignment horizontal="left" vertical="center" wrapText="1" readingOrder="1"/>
    </xf>
    <xf numFmtId="0" fontId="44" fillId="23" borderId="6" xfId="0" applyFont="1" applyFill="1" applyBorder="1" applyAlignment="1">
      <alignment vertical="center" wrapText="1" readingOrder="1"/>
    </xf>
    <xf numFmtId="0" fontId="41" fillId="0" borderId="6" xfId="0" applyFont="1" applyBorder="1" applyAlignment="1">
      <alignment vertical="center"/>
    </xf>
    <xf numFmtId="0" fontId="44" fillId="0" borderId="1" xfId="0" applyFont="1" applyBorder="1" applyAlignment="1">
      <alignment horizontal="left" vertical="center" wrapText="1" readingOrder="1"/>
    </xf>
    <xf numFmtId="0" fontId="44" fillId="0" borderId="1" xfId="0" applyFont="1" applyBorder="1" applyAlignment="1">
      <alignment vertical="center" wrapText="1" readingOrder="1"/>
    </xf>
    <xf numFmtId="173" fontId="41" fillId="0" borderId="1" xfId="7" applyNumberFormat="1" applyFont="1" applyFill="1" applyBorder="1" applyAlignment="1">
      <alignment horizontal="right" vertical="center"/>
    </xf>
    <xf numFmtId="0" fontId="44" fillId="0" borderId="6" xfId="0" applyFont="1" applyBorder="1" applyAlignment="1">
      <alignment vertical="center" wrapText="1" readingOrder="1"/>
    </xf>
    <xf numFmtId="173" fontId="42" fillId="23" borderId="1" xfId="7" applyNumberFormat="1" applyFont="1" applyFill="1" applyBorder="1" applyAlignment="1">
      <alignment horizontal="right" vertical="center"/>
    </xf>
    <xf numFmtId="174" fontId="42" fillId="23" borderId="1" xfId="7" applyNumberFormat="1" applyFont="1" applyFill="1" applyBorder="1" applyAlignment="1">
      <alignment horizontal="right" vertical="center"/>
    </xf>
    <xf numFmtId="44" fontId="41" fillId="0" borderId="0" xfId="7" applyFont="1" applyAlignment="1">
      <alignment vertical="center"/>
    </xf>
    <xf numFmtId="174" fontId="42" fillId="7" borderId="1" xfId="7" applyNumberFormat="1" applyFont="1" applyFill="1" applyBorder="1" applyAlignment="1">
      <alignment horizontal="right" vertical="center"/>
    </xf>
    <xf numFmtId="174" fontId="41" fillId="0" borderId="1" xfId="7" applyNumberFormat="1" applyFont="1" applyFill="1" applyBorder="1" applyAlignment="1">
      <alignment horizontal="right" vertical="center"/>
    </xf>
    <xf numFmtId="173" fontId="45" fillId="23" borderId="1" xfId="7" applyNumberFormat="1" applyFont="1" applyFill="1" applyBorder="1" applyAlignment="1">
      <alignment horizontal="right" vertical="center"/>
    </xf>
    <xf numFmtId="174" fontId="45" fillId="23" borderId="1" xfId="7" applyNumberFormat="1" applyFont="1" applyFill="1" applyBorder="1" applyAlignment="1">
      <alignment horizontal="right" vertical="center"/>
    </xf>
    <xf numFmtId="173" fontId="46" fillId="0" borderId="1" xfId="7" applyNumberFormat="1" applyFont="1" applyFill="1" applyBorder="1" applyAlignment="1">
      <alignment horizontal="right" vertical="center"/>
    </xf>
    <xf numFmtId="174" fontId="46" fillId="0" borderId="1" xfId="7" applyNumberFormat="1" applyFont="1" applyFill="1" applyBorder="1" applyAlignment="1">
      <alignment horizontal="right" vertical="center"/>
    </xf>
    <xf numFmtId="0" fontId="43" fillId="22" borderId="1" xfId="0" applyFont="1" applyFill="1" applyBorder="1" applyAlignment="1">
      <alignment horizontal="left" wrapText="1" readingOrder="1"/>
    </xf>
    <xf numFmtId="0" fontId="43" fillId="22" borderId="1" xfId="0" applyFont="1" applyFill="1" applyBorder="1" applyAlignment="1">
      <alignment wrapText="1" readingOrder="1"/>
    </xf>
    <xf numFmtId="173" fontId="43" fillId="22" borderId="1" xfId="7" applyNumberFormat="1" applyFont="1" applyFill="1" applyBorder="1" applyAlignment="1">
      <alignment horizontal="right" wrapText="1" readingOrder="1"/>
    </xf>
    <xf numFmtId="174" fontId="43" fillId="22" borderId="1" xfId="7" applyNumberFormat="1" applyFont="1" applyFill="1" applyBorder="1" applyAlignment="1">
      <alignment horizontal="right" wrapText="1" readingOrder="1"/>
    </xf>
    <xf numFmtId="0" fontId="42" fillId="20" borderId="1" xfId="0" applyFont="1" applyFill="1" applyBorder="1" applyAlignment="1">
      <alignment horizontal="left"/>
    </xf>
    <xf numFmtId="0" fontId="41" fillId="20" borderId="1" xfId="0" applyFont="1" applyFill="1" applyBorder="1"/>
    <xf numFmtId="174" fontId="42" fillId="20" borderId="6" xfId="0" applyNumberFormat="1" applyFont="1" applyFill="1" applyBorder="1" applyAlignment="1">
      <alignment horizontal="center" vertical="center"/>
    </xf>
    <xf numFmtId="173" fontId="41" fillId="0" borderId="6" xfId="0" applyNumberFormat="1" applyFont="1" applyBorder="1" applyAlignment="1">
      <alignment vertical="center"/>
    </xf>
    <xf numFmtId="0" fontId="44" fillId="23" borderId="1" xfId="0" applyFont="1" applyFill="1" applyBorder="1" applyAlignment="1">
      <alignment horizontal="left" readingOrder="1"/>
    </xf>
    <xf numFmtId="0" fontId="44" fillId="23" borderId="1" xfId="0" applyFont="1" applyFill="1" applyBorder="1" applyAlignment="1">
      <alignment wrapText="1" readingOrder="1"/>
    </xf>
    <xf numFmtId="173" fontId="41" fillId="23" borderId="1" xfId="7" applyNumberFormat="1" applyFont="1" applyFill="1" applyBorder="1" applyAlignment="1">
      <alignment horizontal="right" vertical="center"/>
    </xf>
    <xf numFmtId="174" fontId="41" fillId="23" borderId="1" xfId="7" applyNumberFormat="1" applyFont="1" applyFill="1" applyBorder="1" applyAlignment="1">
      <alignment horizontal="right" vertical="center"/>
    </xf>
    <xf numFmtId="0" fontId="44" fillId="23" borderId="6" xfId="0" applyFont="1" applyFill="1" applyBorder="1" applyAlignment="1">
      <alignment wrapText="1" readingOrder="1"/>
    </xf>
    <xf numFmtId="0" fontId="44" fillId="0" borderId="1" xfId="0" applyFont="1" applyBorder="1" applyAlignment="1">
      <alignment horizontal="left" readingOrder="1"/>
    </xf>
    <xf numFmtId="0" fontId="44" fillId="0" borderId="1" xfId="0" applyFont="1" applyBorder="1" applyAlignment="1">
      <alignment wrapText="1" readingOrder="1"/>
    </xf>
    <xf numFmtId="0" fontId="44" fillId="0" borderId="6" xfId="0" applyFont="1" applyBorder="1" applyAlignment="1">
      <alignment wrapText="1" readingOrder="1"/>
    </xf>
    <xf numFmtId="0" fontId="47" fillId="0" borderId="1" xfId="0" applyFont="1" applyBorder="1" applyAlignment="1">
      <alignment horizontal="left" readingOrder="1"/>
    </xf>
    <xf numFmtId="0" fontId="46" fillId="6" borderId="1" xfId="0" applyFont="1" applyFill="1" applyBorder="1" applyAlignment="1">
      <alignment horizontal="left" readingOrder="1"/>
    </xf>
    <xf numFmtId="0" fontId="46" fillId="6" borderId="1" xfId="0" applyFont="1" applyFill="1" applyBorder="1" applyAlignment="1">
      <alignment wrapText="1" readingOrder="1"/>
    </xf>
    <xf numFmtId="173" fontId="46" fillId="6" borderId="1" xfId="7" applyNumberFormat="1" applyFont="1" applyFill="1" applyBorder="1" applyAlignment="1">
      <alignment horizontal="right" vertical="center"/>
    </xf>
    <xf numFmtId="174" fontId="46" fillId="6" borderId="1" xfId="7" applyNumberFormat="1" applyFont="1" applyFill="1" applyBorder="1" applyAlignment="1">
      <alignment horizontal="right" vertical="center"/>
    </xf>
    <xf numFmtId="0" fontId="46" fillId="6" borderId="1" xfId="0" applyFont="1" applyFill="1" applyBorder="1" applyAlignment="1">
      <alignment horizontal="left" vertical="center" wrapText="1" readingOrder="1"/>
    </xf>
    <xf numFmtId="0" fontId="46" fillId="6" borderId="6" xfId="0" applyFont="1" applyFill="1" applyBorder="1" applyAlignment="1">
      <alignment wrapText="1" readingOrder="1"/>
    </xf>
    <xf numFmtId="0" fontId="41" fillId="6" borderId="6" xfId="0" applyFont="1" applyFill="1" applyBorder="1" applyAlignment="1">
      <alignment vertical="center"/>
    </xf>
    <xf numFmtId="0" fontId="41" fillId="6" borderId="0" xfId="0" applyFont="1" applyFill="1" applyAlignment="1">
      <alignment vertical="center"/>
    </xf>
    <xf numFmtId="0" fontId="47" fillId="23" borderId="1" xfId="0" applyFont="1" applyFill="1" applyBorder="1" applyAlignment="1">
      <alignment horizontal="left" readingOrder="1"/>
    </xf>
    <xf numFmtId="0" fontId="41" fillId="23" borderId="6" xfId="0" applyFont="1" applyFill="1" applyBorder="1" applyAlignment="1">
      <alignment vertical="center"/>
    </xf>
    <xf numFmtId="0" fontId="47" fillId="6" borderId="1" xfId="0" applyFont="1" applyFill="1" applyBorder="1" applyAlignment="1">
      <alignment horizontal="left" readingOrder="1"/>
    </xf>
    <xf numFmtId="173" fontId="44" fillId="23" borderId="1" xfId="7" applyNumberFormat="1" applyFont="1" applyFill="1" applyBorder="1" applyAlignment="1">
      <alignment horizontal="right" vertical="center" wrapText="1" readingOrder="1"/>
    </xf>
    <xf numFmtId="174" fontId="44" fillId="23" borderId="1" xfId="7" applyNumberFormat="1" applyFont="1" applyFill="1" applyBorder="1" applyAlignment="1">
      <alignment horizontal="right" vertical="center" wrapText="1" readingOrder="1"/>
    </xf>
    <xf numFmtId="173" fontId="44" fillId="0" borderId="1" xfId="7" applyNumberFormat="1" applyFont="1" applyFill="1" applyBorder="1" applyAlignment="1">
      <alignment horizontal="right" vertical="center" wrapText="1" readingOrder="1"/>
    </xf>
    <xf numFmtId="174" fontId="44" fillId="0" borderId="1" xfId="7" applyNumberFormat="1" applyFont="1" applyFill="1" applyBorder="1" applyAlignment="1">
      <alignment horizontal="right" vertical="center" wrapText="1" readingOrder="1"/>
    </xf>
    <xf numFmtId="0" fontId="43" fillId="20" borderId="1" xfId="0" applyFont="1" applyFill="1" applyBorder="1" applyAlignment="1">
      <alignment horizontal="left" wrapText="1" readingOrder="1"/>
    </xf>
    <xf numFmtId="0" fontId="43" fillId="20" borderId="1" xfId="0" applyFont="1" applyFill="1" applyBorder="1" applyAlignment="1">
      <alignment wrapText="1" readingOrder="1"/>
    </xf>
    <xf numFmtId="173" fontId="43" fillId="20" borderId="1" xfId="7" applyNumberFormat="1" applyFont="1" applyFill="1" applyBorder="1" applyAlignment="1">
      <alignment horizontal="right" wrapText="1" readingOrder="1"/>
    </xf>
    <xf numFmtId="174" fontId="43" fillId="20" borderId="1" xfId="7" applyNumberFormat="1" applyFont="1" applyFill="1" applyBorder="1" applyAlignment="1">
      <alignment horizontal="right" wrapText="1" readingOrder="1"/>
    </xf>
    <xf numFmtId="44" fontId="41" fillId="20" borderId="1" xfId="7" applyFont="1" applyFill="1" applyBorder="1" applyAlignment="1">
      <alignment horizontal="left"/>
    </xf>
    <xf numFmtId="173" fontId="41" fillId="23" borderId="1" xfId="7" applyNumberFormat="1" applyFont="1" applyFill="1" applyBorder="1" applyAlignment="1">
      <alignment horizontal="right"/>
    </xf>
    <xf numFmtId="174" fontId="41" fillId="23" borderId="1" xfId="7" applyNumberFormat="1" applyFont="1" applyFill="1" applyBorder="1" applyAlignment="1">
      <alignment horizontal="right"/>
    </xf>
    <xf numFmtId="0" fontId="44" fillId="23" borderId="1" xfId="0" applyFont="1" applyFill="1" applyBorder="1" applyAlignment="1">
      <alignment horizontal="left" wrapText="1" readingOrder="1"/>
    </xf>
    <xf numFmtId="173" fontId="41" fillId="0" borderId="1" xfId="7" applyNumberFormat="1" applyFont="1" applyFill="1" applyBorder="1" applyAlignment="1">
      <alignment horizontal="right"/>
    </xf>
    <xf numFmtId="174" fontId="41" fillId="0" borderId="1" xfId="7" applyNumberFormat="1" applyFont="1" applyFill="1" applyBorder="1" applyAlignment="1">
      <alignment horizontal="right"/>
    </xf>
    <xf numFmtId="0" fontId="44" fillId="0" borderId="1" xfId="0" applyFont="1" applyBorder="1" applyAlignment="1">
      <alignment horizontal="left" wrapText="1" readingOrder="1"/>
    </xf>
    <xf numFmtId="0" fontId="41" fillId="0" borderId="1" xfId="0" applyFont="1" applyBorder="1" applyAlignment="1">
      <alignment vertical="center"/>
    </xf>
    <xf numFmtId="0" fontId="41" fillId="0" borderId="1" xfId="0" applyFont="1" applyBorder="1" applyAlignment="1">
      <alignment horizontal="center"/>
    </xf>
    <xf numFmtId="0" fontId="41" fillId="0" borderId="1" xfId="0" applyFont="1" applyBorder="1" applyAlignment="1">
      <alignment vertical="center" wrapText="1"/>
    </xf>
    <xf numFmtId="0" fontId="41" fillId="0" borderId="1" xfId="0" applyFont="1" applyBorder="1" applyAlignment="1">
      <alignment horizontal="right" vertical="center"/>
    </xf>
    <xf numFmtId="0" fontId="41" fillId="0" borderId="1" xfId="0" applyFont="1" applyBorder="1" applyAlignment="1">
      <alignment horizontal="left" vertical="center"/>
    </xf>
    <xf numFmtId="173" fontId="41" fillId="0" borderId="1" xfId="0" applyNumberFormat="1" applyFont="1" applyBorder="1" applyAlignment="1">
      <alignment horizontal="right" vertical="center"/>
    </xf>
    <xf numFmtId="173" fontId="41" fillId="0" borderId="0" xfId="0" applyNumberFormat="1" applyFont="1" applyAlignment="1">
      <alignment horizontal="right" vertical="center"/>
    </xf>
    <xf numFmtId="165" fontId="17" fillId="0" borderId="1" xfId="5" applyFont="1" applyFill="1" applyBorder="1"/>
    <xf numFmtId="165" fontId="0" fillId="0" borderId="1" xfId="5" applyFont="1" applyFill="1" applyBorder="1"/>
    <xf numFmtId="165" fontId="33" fillId="0" borderId="1" xfId="5" applyFont="1" applyFill="1" applyBorder="1"/>
    <xf numFmtId="165" fontId="0" fillId="0" borderId="0" xfId="5" applyFont="1" applyFill="1"/>
    <xf numFmtId="165" fontId="17" fillId="13" borderId="2" xfId="5" applyFont="1" applyFill="1" applyBorder="1"/>
    <xf numFmtId="165" fontId="0" fillId="0" borderId="2" xfId="5" applyFont="1" applyBorder="1"/>
    <xf numFmtId="165" fontId="33" fillId="13" borderId="2" xfId="5" applyFont="1" applyFill="1" applyBorder="1"/>
    <xf numFmtId="0" fontId="34" fillId="0" borderId="1" xfId="0" applyFont="1" applyBorder="1" applyAlignment="1">
      <alignment horizontal="center" vertical="center"/>
    </xf>
    <xf numFmtId="165" fontId="17" fillId="13" borderId="1" xfId="0" applyNumberFormat="1" applyFont="1" applyFill="1" applyBorder="1"/>
    <xf numFmtId="0" fontId="34" fillId="16" borderId="1" xfId="0" applyFont="1" applyFill="1" applyBorder="1" applyAlignment="1">
      <alignment horizontal="center" vertical="center"/>
    </xf>
    <xf numFmtId="165" fontId="0" fillId="0" borderId="1" xfId="0" applyNumberFormat="1" applyBorder="1"/>
    <xf numFmtId="165" fontId="0" fillId="13" borderId="1" xfId="0" applyNumberFormat="1" applyFill="1" applyBorder="1"/>
    <xf numFmtId="0" fontId="48" fillId="24" borderId="1" xfId="0" applyFont="1" applyFill="1" applyBorder="1"/>
    <xf numFmtId="0" fontId="48" fillId="24" borderId="6" xfId="0" applyFont="1" applyFill="1" applyBorder="1"/>
    <xf numFmtId="0" fontId="28" fillId="0" borderId="4" xfId="0" applyFont="1" applyBorder="1"/>
    <xf numFmtId="0" fontId="28" fillId="0" borderId="12" xfId="0" applyFont="1" applyBorder="1"/>
    <xf numFmtId="0" fontId="28" fillId="0" borderId="0" xfId="0" applyFont="1"/>
    <xf numFmtId="0" fontId="28" fillId="24" borderId="1" xfId="0" applyFont="1" applyFill="1" applyBorder="1" applyAlignment="1">
      <alignment vertical="center"/>
    </xf>
    <xf numFmtId="0" fontId="48" fillId="24" borderId="6" xfId="0" applyFont="1" applyFill="1" applyBorder="1" applyAlignment="1">
      <alignment vertical="center" wrapText="1" readingOrder="1"/>
    </xf>
    <xf numFmtId="0" fontId="48" fillId="24" borderId="6" xfId="0" applyFont="1" applyFill="1" applyBorder="1" applyAlignment="1">
      <alignment vertical="center"/>
    </xf>
    <xf numFmtId="0" fontId="28" fillId="5" borderId="4" xfId="0" applyFont="1" applyFill="1" applyBorder="1" applyAlignment="1">
      <alignment horizontal="left" readingOrder="1"/>
    </xf>
    <xf numFmtId="0" fontId="28" fillId="5" borderId="12" xfId="0" applyFont="1" applyFill="1" applyBorder="1" applyAlignment="1">
      <alignment wrapText="1" readingOrder="1"/>
    </xf>
    <xf numFmtId="173" fontId="28" fillId="5" borderId="12" xfId="0" applyNumberFormat="1" applyFont="1" applyFill="1" applyBorder="1" applyAlignment="1">
      <alignment horizontal="right"/>
    </xf>
    <xf numFmtId="0" fontId="28" fillId="5" borderId="12" xfId="0" applyFont="1" applyFill="1" applyBorder="1" applyAlignment="1">
      <alignment horizontal="left" wrapText="1" readingOrder="1"/>
    </xf>
    <xf numFmtId="173" fontId="28" fillId="5" borderId="12" xfId="0" applyNumberFormat="1" applyFont="1" applyFill="1" applyBorder="1"/>
    <xf numFmtId="0" fontId="28" fillId="5" borderId="4" xfId="0" applyFont="1" applyFill="1" applyBorder="1"/>
    <xf numFmtId="0" fontId="28" fillId="5" borderId="12" xfId="0" applyFont="1" applyFill="1" applyBorder="1"/>
    <xf numFmtId="0" fontId="49" fillId="5" borderId="12" xfId="0" applyFont="1" applyFill="1" applyBorder="1" applyAlignment="1">
      <alignment vertical="center" wrapText="1"/>
    </xf>
    <xf numFmtId="173" fontId="28" fillId="0" borderId="12" xfId="0" applyNumberFormat="1" applyFont="1" applyBorder="1"/>
    <xf numFmtId="0" fontId="25" fillId="0" borderId="4" xfId="0" applyFont="1" applyBorder="1"/>
    <xf numFmtId="0" fontId="25" fillId="0" borderId="12" xfId="0" applyFont="1" applyBorder="1"/>
    <xf numFmtId="0" fontId="0" fillId="0" borderId="0" xfId="0" applyAlignment="1">
      <alignment vertical="center" wrapText="1"/>
    </xf>
    <xf numFmtId="165" fontId="33" fillId="6" borderId="0" xfId="5" applyFont="1" applyFill="1"/>
    <xf numFmtId="165" fontId="33" fillId="6" borderId="0" xfId="0" applyNumberFormat="1" applyFont="1" applyFill="1"/>
    <xf numFmtId="165" fontId="0" fillId="6" borderId="0" xfId="0" applyNumberFormat="1" applyFill="1"/>
    <xf numFmtId="0" fontId="0" fillId="25" borderId="1" xfId="0" applyFill="1" applyBorder="1" applyAlignment="1">
      <alignment horizontal="right" vertical="center"/>
    </xf>
    <xf numFmtId="0" fontId="0" fillId="25" borderId="1" xfId="0" applyFill="1" applyBorder="1" applyAlignment="1">
      <alignment horizontal="left" vertical="center"/>
    </xf>
    <xf numFmtId="0" fontId="0" fillId="25" borderId="1" xfId="0" applyFill="1" applyBorder="1" applyAlignment="1">
      <alignment vertical="center"/>
    </xf>
    <xf numFmtId="168" fontId="0" fillId="25" borderId="1" xfId="0" applyNumberFormat="1" applyFill="1" applyBorder="1" applyAlignment="1">
      <alignment horizontal="right" vertical="center"/>
    </xf>
    <xf numFmtId="168" fontId="0" fillId="25" borderId="1" xfId="0" applyNumberFormat="1" applyFill="1" applyBorder="1" applyAlignment="1">
      <alignment horizontal="left" vertical="center"/>
    </xf>
    <xf numFmtId="0" fontId="30" fillId="25" borderId="1" xfId="2" applyFont="1" applyFill="1" applyBorder="1" applyAlignment="1" applyProtection="1">
      <alignment vertical="center"/>
    </xf>
    <xf numFmtId="0" fontId="0" fillId="25" borderId="1" xfId="0" applyFill="1" applyBorder="1"/>
    <xf numFmtId="168" fontId="0" fillId="25" borderId="6" xfId="0" applyNumberFormat="1" applyFill="1" applyBorder="1" applyAlignment="1">
      <alignment horizontal="right" vertical="center"/>
    </xf>
    <xf numFmtId="0" fontId="0" fillId="26" borderId="1" xfId="0" applyFill="1" applyBorder="1" applyAlignment="1">
      <alignment horizontal="left" indent="2"/>
    </xf>
    <xf numFmtId="44" fontId="29" fillId="26" borderId="1" xfId="13" applyFont="1" applyFill="1" applyBorder="1"/>
    <xf numFmtId="165" fontId="0" fillId="26" borderId="1" xfId="5" applyFont="1" applyFill="1" applyBorder="1"/>
    <xf numFmtId="165" fontId="0" fillId="26" borderId="2" xfId="5" applyFont="1" applyFill="1" applyBorder="1"/>
    <xf numFmtId="44" fontId="0" fillId="26" borderId="1" xfId="13" applyFont="1" applyFill="1" applyBorder="1"/>
    <xf numFmtId="0" fontId="0" fillId="27" borderId="1" xfId="0" applyFill="1" applyBorder="1" applyAlignment="1">
      <alignment horizontal="right" vertical="center"/>
    </xf>
    <xf numFmtId="0" fontId="0" fillId="27" borderId="1" xfId="0" applyFill="1" applyBorder="1" applyAlignment="1">
      <alignment horizontal="left" vertical="center"/>
    </xf>
    <xf numFmtId="0" fontId="0" fillId="27" borderId="1" xfId="0" applyFill="1" applyBorder="1" applyAlignment="1">
      <alignment vertical="center"/>
    </xf>
    <xf numFmtId="168" fontId="0" fillId="27" borderId="1" xfId="0" applyNumberFormat="1" applyFill="1" applyBorder="1" applyAlignment="1">
      <alignment horizontal="right" vertical="center"/>
    </xf>
    <xf numFmtId="168" fontId="0" fillId="27" borderId="1" xfId="0" applyNumberFormat="1" applyFill="1" applyBorder="1" applyAlignment="1">
      <alignment horizontal="left" vertical="center"/>
    </xf>
    <xf numFmtId="0" fontId="26" fillId="27" borderId="1" xfId="2" applyFont="1" applyFill="1" applyBorder="1" applyAlignment="1" applyProtection="1">
      <alignment vertical="center"/>
    </xf>
    <xf numFmtId="0" fontId="0" fillId="27" borderId="1" xfId="0" applyFill="1" applyBorder="1"/>
    <xf numFmtId="0" fontId="0" fillId="27" borderId="6" xfId="0" applyFill="1" applyBorder="1" applyAlignment="1">
      <alignment vertical="center"/>
    </xf>
    <xf numFmtId="168" fontId="0" fillId="27" borderId="5" xfId="0" applyNumberFormat="1" applyFill="1" applyBorder="1" applyAlignment="1">
      <alignment horizontal="right" vertical="center"/>
    </xf>
    <xf numFmtId="168" fontId="0" fillId="27" borderId="5" xfId="0" applyNumberFormat="1" applyFill="1" applyBorder="1" applyAlignment="1">
      <alignment horizontal="left" vertical="center"/>
    </xf>
    <xf numFmtId="0" fontId="0" fillId="27" borderId="5" xfId="0" applyFill="1" applyBorder="1" applyAlignment="1">
      <alignment horizontal="right" vertical="center" wrapText="1"/>
    </xf>
    <xf numFmtId="0" fontId="0" fillId="27" borderId="5" xfId="0" applyFill="1" applyBorder="1" applyAlignment="1">
      <alignment horizontal="left" vertical="center"/>
    </xf>
    <xf numFmtId="0" fontId="0" fillId="27" borderId="5" xfId="0" applyFill="1" applyBorder="1" applyAlignment="1">
      <alignment vertical="center"/>
    </xf>
    <xf numFmtId="0" fontId="25" fillId="27" borderId="5" xfId="0" applyFont="1" applyFill="1" applyBorder="1" applyAlignment="1">
      <alignment vertical="center"/>
    </xf>
    <xf numFmtId="0" fontId="0" fillId="27" borderId="5" xfId="0" applyFill="1" applyBorder="1" applyAlignment="1">
      <alignment horizontal="right" vertical="center"/>
    </xf>
    <xf numFmtId="0" fontId="26" fillId="27" borderId="5" xfId="2" applyFont="1" applyFill="1" applyBorder="1" applyAlignment="1" applyProtection="1">
      <alignment vertical="center"/>
    </xf>
    <xf numFmtId="0" fontId="0" fillId="27" borderId="5" xfId="0" applyFill="1" applyBorder="1"/>
    <xf numFmtId="165" fontId="0" fillId="27" borderId="1" xfId="5" applyFont="1" applyFill="1" applyBorder="1"/>
    <xf numFmtId="165" fontId="19" fillId="0" borderId="0" xfId="0" applyNumberFormat="1" applyFont="1"/>
    <xf numFmtId="165" fontId="0" fillId="7" borderId="2" xfId="5" applyFont="1" applyFill="1" applyBorder="1"/>
    <xf numFmtId="168" fontId="0" fillId="6" borderId="4" xfId="0" applyNumberFormat="1" applyFill="1" applyBorder="1" applyAlignment="1">
      <alignment horizontal="right" vertical="center"/>
    </xf>
    <xf numFmtId="0" fontId="0" fillId="6" borderId="4" xfId="0" applyFill="1" applyBorder="1" applyAlignment="1">
      <alignment horizontal="right" vertical="center"/>
    </xf>
    <xf numFmtId="0" fontId="0" fillId="6" borderId="4" xfId="0" applyFill="1" applyBorder="1" applyAlignment="1">
      <alignment horizontal="left" vertical="center"/>
    </xf>
    <xf numFmtId="0" fontId="0" fillId="6" borderId="4" xfId="0" applyFill="1" applyBorder="1" applyAlignment="1">
      <alignment vertical="center"/>
    </xf>
    <xf numFmtId="0" fontId="27" fillId="0" borderId="5" xfId="0" applyFont="1" applyBorder="1" applyAlignment="1">
      <alignment vertical="center" wrapText="1"/>
    </xf>
    <xf numFmtId="168" fontId="0" fillId="6" borderId="4" xfId="0" applyNumberFormat="1" applyFill="1" applyBorder="1" applyAlignment="1">
      <alignment horizontal="left" vertical="center"/>
    </xf>
    <xf numFmtId="0" fontId="25" fillId="6" borderId="4" xfId="0" applyFont="1" applyFill="1" applyBorder="1" applyAlignment="1">
      <alignment vertical="center"/>
    </xf>
    <xf numFmtId="0" fontId="26" fillId="6" borderId="4" xfId="2" applyFont="1" applyFill="1" applyBorder="1" applyAlignment="1" applyProtection="1">
      <alignment vertical="center"/>
    </xf>
    <xf numFmtId="0" fontId="26" fillId="0" borderId="1" xfId="2" applyFont="1" applyFill="1" applyBorder="1" applyAlignment="1" applyProtection="1">
      <alignment vertical="center"/>
    </xf>
    <xf numFmtId="172" fontId="0" fillId="0" borderId="1" xfId="0" applyNumberFormat="1" applyBorder="1" applyAlignment="1">
      <alignment vertical="center"/>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wrapText="1"/>
    </xf>
    <xf numFmtId="0" fontId="51" fillId="17" borderId="1" xfId="0" applyFont="1" applyFill="1" applyBorder="1" applyAlignment="1">
      <alignment horizontal="center"/>
    </xf>
    <xf numFmtId="0" fontId="52" fillId="20" borderId="1" xfId="1" applyFont="1" applyFill="1" applyBorder="1" applyAlignment="1">
      <alignment horizontal="center" vertical="center" wrapText="1"/>
    </xf>
    <xf numFmtId="168" fontId="0" fillId="0" borderId="1" xfId="0" applyNumberFormat="1" applyBorder="1" applyAlignment="1">
      <alignment vertical="center"/>
    </xf>
    <xf numFmtId="1" fontId="0" fillId="0" borderId="1" xfId="0" applyNumberFormat="1" applyBorder="1" applyAlignment="1">
      <alignment horizontal="left" vertical="center"/>
    </xf>
    <xf numFmtId="1" fontId="0" fillId="0" borderId="1" xfId="0" applyNumberFormat="1" applyBorder="1" applyAlignment="1">
      <alignment horizontal="right" vertical="center"/>
    </xf>
    <xf numFmtId="1" fontId="0" fillId="6" borderId="1" xfId="0" applyNumberFormat="1" applyFill="1" applyBorder="1" applyAlignment="1">
      <alignment horizontal="right" vertical="center"/>
    </xf>
    <xf numFmtId="1" fontId="0" fillId="0" borderId="1" xfId="0" applyNumberFormat="1" applyBorder="1" applyAlignment="1">
      <alignment vertical="center"/>
    </xf>
    <xf numFmtId="1" fontId="0" fillId="6" borderId="1" xfId="0" applyNumberFormat="1" applyFill="1" applyBorder="1" applyAlignment="1">
      <alignment vertical="center"/>
    </xf>
    <xf numFmtId="1" fontId="0" fillId="0" borderId="4" xfId="0" applyNumberFormat="1" applyBorder="1" applyAlignment="1">
      <alignment vertical="center"/>
    </xf>
    <xf numFmtId="172" fontId="0" fillId="17" borderId="1" xfId="0" applyNumberFormat="1" applyFill="1" applyBorder="1" applyAlignment="1">
      <alignment horizontal="left" vertical="center"/>
    </xf>
    <xf numFmtId="168" fontId="0" fillId="11" borderId="1" xfId="0" applyNumberFormat="1" applyFill="1" applyBorder="1" applyAlignment="1">
      <alignment horizontal="left" vertical="center"/>
    </xf>
    <xf numFmtId="168" fontId="0" fillId="8" borderId="7" xfId="0" applyNumberFormat="1" applyFill="1" applyBorder="1" applyAlignment="1">
      <alignment horizontal="left" vertical="center"/>
    </xf>
    <xf numFmtId="168" fontId="36" fillId="6" borderId="1" xfId="0" applyNumberFormat="1" applyFont="1" applyFill="1" applyBorder="1" applyAlignment="1">
      <alignment horizontal="left" vertical="center"/>
    </xf>
    <xf numFmtId="168" fontId="29" fillId="17" borderId="1" xfId="0" applyNumberFormat="1" applyFont="1" applyFill="1" applyBorder="1" applyAlignment="1">
      <alignment horizontal="left" vertical="center"/>
    </xf>
    <xf numFmtId="168" fontId="29" fillId="0" borderId="1" xfId="0" applyNumberFormat="1" applyFont="1" applyBorder="1" applyAlignment="1">
      <alignment horizontal="left" vertical="center"/>
    </xf>
    <xf numFmtId="169" fontId="0" fillId="6" borderId="1" xfId="4" applyNumberFormat="1" applyFont="1" applyFill="1" applyBorder="1" applyAlignment="1">
      <alignment horizontal="left" vertical="center" wrapText="1"/>
    </xf>
    <xf numFmtId="171" fontId="0" fillId="6" borderId="1" xfId="0" applyNumberFormat="1" applyFill="1" applyBorder="1" applyAlignment="1">
      <alignment horizontal="left" vertical="center" wrapText="1"/>
    </xf>
    <xf numFmtId="168" fontId="29" fillId="6" borderId="1" xfId="4" applyNumberFormat="1" applyFont="1" applyFill="1" applyBorder="1" applyAlignment="1">
      <alignment horizontal="left" vertical="center"/>
    </xf>
    <xf numFmtId="168" fontId="29" fillId="6" borderId="1" xfId="5" applyNumberFormat="1" applyFont="1" applyFill="1" applyBorder="1" applyAlignment="1">
      <alignment horizontal="left" vertical="center"/>
    </xf>
    <xf numFmtId="168" fontId="36" fillId="17" borderId="7" xfId="0" applyNumberFormat="1" applyFont="1" applyFill="1" applyBorder="1" applyAlignment="1">
      <alignment horizontal="left" vertical="center"/>
    </xf>
    <xf numFmtId="168" fontId="0" fillId="17" borderId="4" xfId="4" applyNumberFormat="1" applyFont="1" applyFill="1" applyBorder="1" applyAlignment="1">
      <alignment horizontal="left" vertical="center"/>
    </xf>
    <xf numFmtId="168" fontId="36" fillId="17" borderId="5" xfId="4" applyNumberFormat="1" applyFont="1" applyFill="1" applyBorder="1" applyAlignment="1">
      <alignment horizontal="left" vertical="center"/>
    </xf>
    <xf numFmtId="168" fontId="29" fillId="6" borderId="1" xfId="0" applyNumberFormat="1" applyFont="1" applyFill="1" applyBorder="1" applyAlignment="1">
      <alignment horizontal="left" vertical="center"/>
    </xf>
    <xf numFmtId="168" fontId="29" fillId="17" borderId="4" xfId="4" applyNumberFormat="1" applyFont="1" applyFill="1" applyBorder="1" applyAlignment="1">
      <alignment horizontal="left" vertical="center"/>
    </xf>
    <xf numFmtId="168" fontId="29" fillId="17" borderId="1" xfId="4" applyNumberFormat="1" applyFont="1" applyFill="1" applyBorder="1" applyAlignment="1">
      <alignment horizontal="left" vertical="center"/>
    </xf>
    <xf numFmtId="168" fontId="29" fillId="17" borderId="5" xfId="4" applyNumberFormat="1" applyFont="1" applyFill="1" applyBorder="1" applyAlignment="1">
      <alignment horizontal="left" vertical="center"/>
    </xf>
    <xf numFmtId="171" fontId="29" fillId="6" borderId="1" xfId="0" applyNumberFormat="1" applyFont="1" applyFill="1" applyBorder="1" applyAlignment="1">
      <alignment horizontal="left"/>
    </xf>
    <xf numFmtId="168" fontId="0" fillId="0" borderId="0" xfId="0" applyNumberFormat="1" applyAlignment="1">
      <alignment horizontal="left"/>
    </xf>
    <xf numFmtId="1" fontId="0" fillId="0" borderId="5" xfId="0" applyNumberFormat="1" applyBorder="1" applyAlignment="1">
      <alignment horizontal="right" vertical="center"/>
    </xf>
    <xf numFmtId="1" fontId="0" fillId="8" borderId="7" xfId="0" applyNumberFormat="1" applyFill="1" applyBorder="1" applyAlignment="1">
      <alignment horizontal="right" vertical="center"/>
    </xf>
    <xf numFmtId="1" fontId="0" fillId="0" borderId="4" xfId="0" applyNumberFormat="1" applyBorder="1" applyAlignment="1">
      <alignment horizontal="right" vertical="center"/>
    </xf>
    <xf numFmtId="1" fontId="0" fillId="18" borderId="1" xfId="0" applyNumberFormat="1" applyFill="1" applyBorder="1" applyAlignment="1">
      <alignment horizontal="right" vertical="center"/>
    </xf>
    <xf numFmtId="0" fontId="0" fillId="0" borderId="0" xfId="0" applyAlignment="1">
      <alignment horizontal="left" indent="1"/>
    </xf>
    <xf numFmtId="173" fontId="54" fillId="22" borderId="1" xfId="7" applyNumberFormat="1" applyFont="1" applyFill="1" applyBorder="1" applyAlignment="1">
      <alignment horizontal="right" vertical="center"/>
    </xf>
    <xf numFmtId="165" fontId="44" fillId="23" borderId="1" xfId="5" applyFont="1" applyFill="1" applyBorder="1" applyAlignment="1">
      <alignment wrapText="1" readingOrder="1"/>
    </xf>
    <xf numFmtId="168" fontId="25" fillId="28" borderId="1" xfId="0" applyNumberFormat="1" applyFont="1" applyFill="1" applyBorder="1" applyAlignment="1">
      <alignment horizontal="right" vertical="center"/>
    </xf>
    <xf numFmtId="168" fontId="25" fillId="28" borderId="6" xfId="0" applyNumberFormat="1" applyFont="1" applyFill="1" applyBorder="1" applyAlignment="1">
      <alignment horizontal="right" vertical="center"/>
    </xf>
    <xf numFmtId="1" fontId="25" fillId="28" borderId="6" xfId="0" applyNumberFormat="1" applyFont="1" applyFill="1" applyBorder="1" applyAlignment="1">
      <alignment horizontal="right" vertical="center"/>
    </xf>
    <xf numFmtId="168" fontId="25" fillId="28" borderId="6" xfId="0" applyNumberFormat="1" applyFont="1" applyFill="1" applyBorder="1" applyAlignment="1">
      <alignment horizontal="left" vertical="center"/>
    </xf>
    <xf numFmtId="173" fontId="53" fillId="22" borderId="1" xfId="7" applyNumberFormat="1" applyFont="1" applyFill="1" applyBorder="1" applyAlignment="1">
      <alignment horizontal="right"/>
    </xf>
    <xf numFmtId="173" fontId="53" fillId="22" borderId="1" xfId="7" applyNumberFormat="1" applyFont="1" applyFill="1" applyBorder="1" applyAlignment="1">
      <alignment horizontal="right" vertical="center"/>
    </xf>
    <xf numFmtId="173" fontId="54" fillId="0" borderId="1" xfId="7" applyNumberFormat="1" applyFont="1" applyFill="1" applyBorder="1" applyAlignment="1">
      <alignment horizontal="right" vertical="center"/>
    </xf>
    <xf numFmtId="0" fontId="4" fillId="0" borderId="0" xfId="0" applyFont="1"/>
    <xf numFmtId="0" fontId="56" fillId="29" borderId="1" xfId="1" applyFont="1" applyFill="1" applyBorder="1" applyAlignment="1">
      <alignment horizontal="left" vertical="center"/>
    </xf>
    <xf numFmtId="0" fontId="56" fillId="29" borderId="1" xfId="1" applyFont="1" applyFill="1" applyBorder="1">
      <alignment horizontal="center" vertical="center"/>
    </xf>
    <xf numFmtId="1" fontId="10" fillId="29" borderId="1" xfId="1" applyNumberFormat="1" applyFont="1" applyFill="1" applyBorder="1" applyProtection="1">
      <alignment horizontal="center" vertical="center"/>
      <protection locked="0"/>
    </xf>
    <xf numFmtId="0" fontId="10" fillId="29" borderId="1" xfId="1" applyFont="1" applyFill="1" applyBorder="1">
      <alignment horizontal="center" vertical="center"/>
    </xf>
    <xf numFmtId="165" fontId="24" fillId="29" borderId="1" xfId="5" applyFont="1" applyFill="1" applyBorder="1" applyAlignment="1">
      <alignment horizontal="right" vertical="center"/>
    </xf>
    <xf numFmtId="0" fontId="57" fillId="0" borderId="0" xfId="0" applyFont="1"/>
    <xf numFmtId="0" fontId="57" fillId="0" borderId="0" xfId="0" applyFont="1" applyAlignment="1">
      <alignment horizontal="left"/>
    </xf>
    <xf numFmtId="0" fontId="57" fillId="0" borderId="0" xfId="0" applyFont="1" applyAlignment="1">
      <alignment horizontal="center"/>
    </xf>
    <xf numFmtId="0" fontId="57" fillId="0" borderId="0" xfId="0" applyFont="1" applyAlignment="1">
      <alignment horizontal="center" wrapText="1"/>
    </xf>
    <xf numFmtId="0" fontId="58" fillId="3" borderId="1" xfId="2" applyFont="1" applyFill="1" applyBorder="1" applyAlignment="1" applyProtection="1">
      <alignment horizontal="center" vertical="center" wrapText="1"/>
    </xf>
    <xf numFmtId="0" fontId="59" fillId="3" borderId="1" xfId="0" applyFont="1" applyFill="1" applyBorder="1" applyAlignment="1">
      <alignment horizontal="center" vertical="center" wrapText="1"/>
    </xf>
    <xf numFmtId="0" fontId="58" fillId="29" borderId="1" xfId="2" applyFont="1" applyFill="1" applyBorder="1" applyAlignment="1" applyProtection="1">
      <alignment horizontal="center" vertical="center"/>
    </xf>
    <xf numFmtId="0" fontId="57" fillId="29" borderId="4" xfId="0" applyFont="1" applyFill="1" applyBorder="1" applyAlignment="1">
      <alignment vertical="center"/>
    </xf>
    <xf numFmtId="0" fontId="57" fillId="29" borderId="1" xfId="0" applyFont="1" applyFill="1" applyBorder="1" applyAlignment="1">
      <alignment vertical="center"/>
    </xf>
    <xf numFmtId="165" fontId="57" fillId="29" borderId="4" xfId="5" applyFont="1" applyFill="1" applyBorder="1" applyAlignment="1">
      <alignment vertical="center"/>
    </xf>
    <xf numFmtId="0" fontId="57" fillId="30" borderId="1" xfId="0" applyFont="1" applyFill="1" applyBorder="1" applyAlignment="1">
      <alignment vertical="center"/>
    </xf>
    <xf numFmtId="0" fontId="57" fillId="30" borderId="1" xfId="0" applyFont="1" applyFill="1" applyBorder="1" applyAlignment="1">
      <alignment horizontal="left" vertical="center"/>
    </xf>
    <xf numFmtId="0" fontId="57" fillId="0" borderId="1" xfId="0" applyFont="1" applyBorder="1" applyAlignment="1">
      <alignment vertical="center"/>
    </xf>
    <xf numFmtId="0" fontId="57" fillId="30" borderId="1" xfId="0" applyFont="1" applyFill="1" applyBorder="1" applyAlignment="1">
      <alignment horizontal="right" vertical="center"/>
    </xf>
    <xf numFmtId="165" fontId="57" fillId="30" borderId="1" xfId="5" applyFont="1" applyFill="1" applyBorder="1" applyAlignment="1">
      <alignment vertical="center"/>
    </xf>
    <xf numFmtId="168" fontId="57" fillId="0" borderId="1" xfId="0" applyNumberFormat="1" applyFont="1" applyBorder="1" applyAlignment="1">
      <alignment horizontal="right" vertical="center"/>
    </xf>
    <xf numFmtId="165" fontId="57" fillId="30" borderId="1" xfId="5" applyFont="1" applyFill="1" applyBorder="1" applyAlignment="1">
      <alignment horizontal="right" vertical="center"/>
    </xf>
    <xf numFmtId="0" fontId="57" fillId="30" borderId="4" xfId="0" applyFont="1" applyFill="1" applyBorder="1" applyAlignment="1">
      <alignment vertical="center"/>
    </xf>
    <xf numFmtId="0" fontId="57" fillId="30" borderId="1" xfId="0" applyFont="1" applyFill="1" applyBorder="1" applyAlignment="1">
      <alignment horizontal="center" vertical="center"/>
    </xf>
    <xf numFmtId="165" fontId="57" fillId="30" borderId="1" xfId="5" applyFont="1" applyFill="1" applyBorder="1" applyAlignment="1">
      <alignment horizontal="left" vertical="center"/>
    </xf>
    <xf numFmtId="0" fontId="57" fillId="30" borderId="1" xfId="0" applyFont="1" applyFill="1" applyBorder="1"/>
    <xf numFmtId="0" fontId="57" fillId="30" borderId="1" xfId="0" applyFont="1" applyFill="1" applyBorder="1" applyAlignment="1">
      <alignment horizontal="left"/>
    </xf>
    <xf numFmtId="0" fontId="57" fillId="0" borderId="1" xfId="0" applyFont="1" applyBorder="1"/>
    <xf numFmtId="0" fontId="57" fillId="0" borderId="4" xfId="0" applyFont="1" applyBorder="1" applyAlignment="1">
      <alignment horizontal="right" vertical="center"/>
    </xf>
    <xf numFmtId="0" fontId="57" fillId="0" borderId="4" xfId="0" applyFont="1" applyBorder="1" applyAlignment="1">
      <alignment vertical="center"/>
    </xf>
    <xf numFmtId="0" fontId="57" fillId="0" borderId="4" xfId="0" applyFont="1" applyBorder="1" applyAlignment="1">
      <alignment horizontal="left" vertical="center"/>
    </xf>
    <xf numFmtId="175" fontId="57" fillId="0" borderId="4" xfId="5" applyNumberFormat="1" applyFont="1" applyFill="1" applyBorder="1" applyAlignment="1">
      <alignment vertical="center"/>
    </xf>
    <xf numFmtId="168" fontId="57" fillId="0" borderId="4" xfId="0" applyNumberFormat="1" applyFont="1" applyBorder="1" applyAlignment="1">
      <alignment horizontal="right" vertical="center"/>
    </xf>
    <xf numFmtId="165" fontId="57" fillId="0" borderId="4" xfId="5" applyFont="1" applyFill="1" applyBorder="1" applyAlignment="1">
      <alignment horizontal="right" vertical="center"/>
    </xf>
    <xf numFmtId="0" fontId="57" fillId="0" borderId="1" xfId="0" applyFont="1" applyBorder="1" applyAlignment="1">
      <alignment horizontal="right" vertical="center"/>
    </xf>
    <xf numFmtId="0" fontId="57" fillId="0" borderId="1" xfId="0" applyFont="1" applyBorder="1" applyAlignment="1">
      <alignment horizontal="left" vertical="center"/>
    </xf>
    <xf numFmtId="175" fontId="57" fillId="0" borderId="1" xfId="5" applyNumberFormat="1" applyFont="1" applyFill="1" applyBorder="1" applyAlignment="1">
      <alignment vertical="center"/>
    </xf>
    <xf numFmtId="165" fontId="57" fillId="0" borderId="1" xfId="5" applyFont="1" applyFill="1" applyBorder="1" applyAlignment="1">
      <alignment horizontal="right" vertical="center"/>
    </xf>
    <xf numFmtId="0" fontId="57" fillId="0" borderId="0" xfId="0" applyFont="1" applyAlignment="1">
      <alignment vertical="center"/>
    </xf>
    <xf numFmtId="165" fontId="57" fillId="0" borderId="1" xfId="5" applyFont="1" applyFill="1" applyBorder="1" applyAlignment="1">
      <alignment vertical="center"/>
    </xf>
    <xf numFmtId="0" fontId="57" fillId="0" borderId="1" xfId="0" applyFont="1" applyBorder="1" applyAlignment="1">
      <alignment horizontal="center" vertical="center"/>
    </xf>
    <xf numFmtId="3" fontId="57" fillId="0" borderId="1" xfId="0" applyNumberFormat="1" applyFont="1" applyBorder="1" applyAlignment="1">
      <alignment vertical="center"/>
    </xf>
    <xf numFmtId="0" fontId="57" fillId="0" borderId="5" xfId="0" applyFont="1" applyBorder="1" applyAlignment="1">
      <alignment horizontal="right" vertical="center"/>
    </xf>
    <xf numFmtId="0" fontId="57" fillId="0" borderId="5" xfId="0" applyFont="1" applyBorder="1" applyAlignment="1">
      <alignment vertical="center"/>
    </xf>
    <xf numFmtId="0" fontId="57" fillId="0" borderId="5" xfId="0" applyFont="1" applyBorder="1" applyAlignment="1">
      <alignment horizontal="left" vertical="center"/>
    </xf>
    <xf numFmtId="168" fontId="57" fillId="0" borderId="5" xfId="0" applyNumberFormat="1" applyFont="1" applyBorder="1" applyAlignment="1">
      <alignment horizontal="right" vertical="center"/>
    </xf>
    <xf numFmtId="166" fontId="57" fillId="0" borderId="1" xfId="3" applyFont="1" applyFill="1" applyBorder="1" applyAlignment="1">
      <alignment vertical="center"/>
    </xf>
    <xf numFmtId="6" fontId="60" fillId="0" borderId="1" xfId="0" applyNumberFormat="1" applyFont="1" applyBorder="1" applyAlignment="1">
      <alignment horizontal="right" vertical="center"/>
    </xf>
    <xf numFmtId="0" fontId="61" fillId="0" borderId="1" xfId="2" applyFont="1" applyFill="1" applyBorder="1" applyAlignment="1" applyProtection="1">
      <alignment vertical="center"/>
    </xf>
    <xf numFmtId="6" fontId="56" fillId="0" borderId="1" xfId="0" applyNumberFormat="1" applyFont="1" applyBorder="1" applyAlignment="1">
      <alignment horizontal="right" vertical="center"/>
    </xf>
    <xf numFmtId="165" fontId="57" fillId="0" borderId="0" xfId="0" applyNumberFormat="1" applyFont="1"/>
    <xf numFmtId="0" fontId="57" fillId="0" borderId="0" xfId="0" applyFont="1" applyAlignment="1">
      <alignment wrapText="1"/>
    </xf>
    <xf numFmtId="175" fontId="57" fillId="0" borderId="0" xfId="5" applyNumberFormat="1" applyFont="1" applyFill="1" applyBorder="1" applyAlignment="1">
      <alignment vertical="center" wrapText="1"/>
    </xf>
    <xf numFmtId="175" fontId="57" fillId="0" borderId="0" xfId="0" applyNumberFormat="1" applyFont="1"/>
    <xf numFmtId="176" fontId="57" fillId="0" borderId="0" xfId="0" applyNumberFormat="1" applyFont="1"/>
    <xf numFmtId="0" fontId="59" fillId="0" borderId="3" xfId="0" applyFont="1" applyBorder="1" applyAlignment="1">
      <alignment horizontal="center" vertical="center"/>
    </xf>
    <xf numFmtId="0" fontId="59" fillId="0" borderId="2" xfId="0" applyFont="1" applyBorder="1" applyAlignment="1">
      <alignment horizontal="center" vertical="center" wrapText="1"/>
    </xf>
    <xf numFmtId="0" fontId="10" fillId="0" borderId="1" xfId="9" applyFont="1" applyBorder="1" applyAlignment="1">
      <alignment horizontal="left" vertical="center" wrapText="1"/>
    </xf>
    <xf numFmtId="0" fontId="59" fillId="0" borderId="0" xfId="0" applyFont="1" applyAlignment="1">
      <alignment horizontal="center" vertical="center"/>
    </xf>
    <xf numFmtId="0" fontId="60" fillId="0" borderId="1" xfId="0" applyFont="1" applyBorder="1" applyAlignment="1">
      <alignment horizontal="right" vertical="center"/>
    </xf>
    <xf numFmtId="0" fontId="57" fillId="30" borderId="1" xfId="0" applyFont="1" applyFill="1" applyBorder="1" applyAlignment="1">
      <alignment horizontal="center"/>
    </xf>
    <xf numFmtId="0" fontId="57" fillId="0" borderId="4" xfId="0" applyFont="1" applyBorder="1" applyAlignment="1">
      <alignment horizontal="center" vertical="center"/>
    </xf>
    <xf numFmtId="0" fontId="57" fillId="0" borderId="5" xfId="0" applyFont="1" applyBorder="1" applyAlignment="1">
      <alignment horizontal="center" vertical="center"/>
    </xf>
    <xf numFmtId="0" fontId="10" fillId="2" borderId="1" xfId="1" applyFont="1" applyBorder="1" applyAlignment="1">
      <alignment vertical="center" wrapText="1"/>
    </xf>
    <xf numFmtId="0" fontId="56" fillId="29" borderId="1" xfId="1" applyFont="1" applyFill="1" applyBorder="1" applyAlignment="1">
      <alignment vertical="center"/>
    </xf>
    <xf numFmtId="0" fontId="4" fillId="0" borderId="0" xfId="0" applyFont="1" applyAlignment="1">
      <alignment vertical="center"/>
    </xf>
    <xf numFmtId="0" fontId="52" fillId="0" borderId="8" xfId="0" applyFont="1" applyBorder="1" applyAlignment="1">
      <alignment horizontal="right" vertical="center"/>
    </xf>
    <xf numFmtId="0" fontId="52" fillId="0" borderId="9" xfId="0" applyFont="1" applyBorder="1" applyAlignment="1">
      <alignment horizontal="left" vertical="center" wrapText="1"/>
    </xf>
    <xf numFmtId="0" fontId="52" fillId="0" borderId="0" xfId="0" applyFont="1" applyAlignment="1">
      <alignment horizontal="center" vertical="center"/>
    </xf>
    <xf numFmtId="0" fontId="52" fillId="0" borderId="1" xfId="0" applyFont="1" applyBorder="1" applyAlignment="1">
      <alignment horizontal="left" vertical="center"/>
    </xf>
    <xf numFmtId="0" fontId="52" fillId="0" borderId="1" xfId="1" applyFont="1" applyFill="1" applyBorder="1" applyAlignment="1">
      <alignment horizontal="center" vertical="center" wrapText="1"/>
    </xf>
    <xf numFmtId="0" fontId="0" fillId="0" borderId="0" xfId="0" applyAlignment="1">
      <alignment horizontal="left" indent="2"/>
    </xf>
    <xf numFmtId="0" fontId="0" fillId="22" borderId="0" xfId="0" applyFill="1"/>
    <xf numFmtId="173" fontId="0" fillId="22" borderId="0" xfId="0" applyNumberFormat="1" applyFill="1"/>
    <xf numFmtId="0" fontId="28" fillId="22" borderId="0" xfId="0" applyFont="1" applyFill="1"/>
    <xf numFmtId="173" fontId="28" fillId="31" borderId="12" xfId="0" applyNumberFormat="1" applyFont="1" applyFill="1" applyBorder="1"/>
    <xf numFmtId="173" fontId="28" fillId="22" borderId="0" xfId="0" applyNumberFormat="1" applyFont="1" applyFill="1"/>
    <xf numFmtId="1" fontId="52" fillId="0" borderId="1" xfId="1" applyNumberFormat="1" applyFont="1" applyFill="1" applyBorder="1" applyAlignment="1">
      <alignment horizontal="center" vertical="center" wrapText="1"/>
    </xf>
    <xf numFmtId="0" fontId="52" fillId="0" borderId="5" xfId="9" applyFont="1" applyBorder="1" applyAlignment="1">
      <alignment horizontal="left" vertical="center" wrapText="1"/>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center"/>
    </xf>
    <xf numFmtId="168" fontId="3" fillId="0" borderId="0" xfId="0" applyNumberFormat="1" applyFont="1" applyAlignment="1">
      <alignment horizontal="left"/>
    </xf>
    <xf numFmtId="0" fontId="64" fillId="0" borderId="1" xfId="2" applyFont="1" applyFill="1" applyBorder="1" applyAlignment="1" applyProtection="1">
      <alignment horizontal="right" vertical="center" wrapText="1"/>
    </xf>
    <xf numFmtId="0" fontId="52" fillId="0" borderId="1" xfId="1" applyFont="1" applyFill="1" applyBorder="1" applyAlignment="1">
      <alignment horizontal="left" vertical="center" wrapText="1"/>
    </xf>
    <xf numFmtId="0" fontId="52" fillId="0" borderId="1" xfId="1" applyFont="1" applyFill="1" applyBorder="1" applyAlignment="1">
      <alignment horizontal="left" vertical="center"/>
    </xf>
    <xf numFmtId="168" fontId="52" fillId="0" borderId="1" xfId="1" applyNumberFormat="1" applyFont="1" applyFill="1" applyBorder="1" applyAlignment="1" applyProtection="1">
      <alignment horizontal="center" vertical="center" wrapText="1"/>
      <protection locked="0"/>
    </xf>
    <xf numFmtId="0" fontId="3" fillId="0" borderId="0" xfId="0" applyFont="1" applyAlignment="1">
      <alignment horizontal="right"/>
    </xf>
    <xf numFmtId="0" fontId="3" fillId="0" borderId="0" xfId="0" applyFont="1"/>
    <xf numFmtId="0" fontId="52" fillId="0" borderId="1" xfId="0" applyFont="1" applyBorder="1" applyAlignment="1">
      <alignment horizontal="left" vertical="center" wrapText="1"/>
    </xf>
    <xf numFmtId="168" fontId="3" fillId="0" borderId="0" xfId="0" applyNumberFormat="1" applyFont="1"/>
    <xf numFmtId="1" fontId="3" fillId="0" borderId="0" xfId="0" applyNumberFormat="1" applyFont="1"/>
    <xf numFmtId="0" fontId="2" fillId="0" borderId="0" xfId="0" applyFont="1"/>
    <xf numFmtId="0" fontId="2" fillId="0" borderId="0" xfId="0" applyFont="1" applyAlignment="1">
      <alignment horizontal="center"/>
    </xf>
    <xf numFmtId="0" fontId="52" fillId="3" borderId="1" xfId="0" applyFont="1" applyFill="1" applyBorder="1" applyAlignment="1">
      <alignment horizontal="center" vertical="center" wrapText="1"/>
    </xf>
    <xf numFmtId="0" fontId="2" fillId="0" borderId="0" xfId="0" applyFont="1" applyAlignment="1">
      <alignment vertical="center"/>
    </xf>
    <xf numFmtId="0" fontId="2" fillId="8" borderId="0" xfId="0" applyFont="1" applyFill="1"/>
    <xf numFmtId="0" fontId="2" fillId="0" borderId="0" xfId="0" applyFont="1" applyAlignment="1">
      <alignment wrapText="1"/>
    </xf>
    <xf numFmtId="0" fontId="52" fillId="0" borderId="3" xfId="0" applyFont="1" applyBorder="1" applyAlignment="1">
      <alignment horizontal="center" vertical="center"/>
    </xf>
    <xf numFmtId="0" fontId="52" fillId="0" borderId="2" xfId="0" applyFont="1" applyBorder="1" applyAlignment="1">
      <alignment horizontal="center" vertical="center" wrapText="1"/>
    </xf>
    <xf numFmtId="0" fontId="66" fillId="0" borderId="1" xfId="9" applyFont="1" applyBorder="1" applyAlignment="1">
      <alignment horizontal="left" vertical="center" wrapText="1"/>
    </xf>
    <xf numFmtId="0" fontId="67" fillId="3" borderId="1" xfId="2" applyFont="1" applyFill="1" applyBorder="1" applyAlignment="1" applyProtection="1">
      <alignment horizontal="center" vertical="center" wrapText="1"/>
    </xf>
    <xf numFmtId="0" fontId="66" fillId="2" borderId="1" xfId="1" applyFont="1" applyBorder="1" applyAlignment="1">
      <alignment horizontal="center" vertical="center" wrapText="1"/>
    </xf>
    <xf numFmtId="1" fontId="66" fillId="2" borderId="1" xfId="1" applyNumberFormat="1" applyFont="1" applyBorder="1" applyAlignment="1" applyProtection="1">
      <alignment horizontal="center" vertical="center" wrapText="1"/>
      <protection locked="0"/>
    </xf>
    <xf numFmtId="0" fontId="68" fillId="2" borderId="1" xfId="1" applyFont="1" applyBorder="1" applyAlignment="1">
      <alignment horizontal="center" vertical="center" wrapText="1"/>
    </xf>
    <xf numFmtId="0" fontId="67" fillId="0" borderId="1" xfId="2" applyFont="1" applyFill="1" applyBorder="1" applyAlignment="1" applyProtection="1">
      <alignment horizontal="center" vertical="center" wrapText="1"/>
    </xf>
    <xf numFmtId="0" fontId="55" fillId="0" borderId="1" xfId="1" applyFont="1" applyFill="1" applyBorder="1" applyAlignment="1">
      <alignment horizontal="left" vertical="center" wrapText="1"/>
    </xf>
    <xf numFmtId="0" fontId="55" fillId="0" borderId="1" xfId="1" applyFont="1" applyFill="1" applyBorder="1" applyAlignment="1">
      <alignment horizontal="center" vertical="center" wrapText="1"/>
    </xf>
    <xf numFmtId="0" fontId="55" fillId="0" borderId="4" xfId="1" applyFont="1" applyFill="1" applyBorder="1" applyAlignment="1">
      <alignment horizontal="center" vertical="center" wrapText="1"/>
    </xf>
    <xf numFmtId="0" fontId="66" fillId="0" borderId="1" xfId="1" applyFont="1" applyFill="1" applyBorder="1" applyAlignment="1">
      <alignment horizontal="center" vertical="center" wrapText="1"/>
    </xf>
    <xf numFmtId="0" fontId="69" fillId="0" borderId="1" xfId="2" applyFont="1" applyFill="1" applyBorder="1" applyAlignment="1" applyProtection="1">
      <alignment vertical="center" wrapText="1"/>
    </xf>
    <xf numFmtId="0" fontId="55" fillId="0" borderId="4" xfId="1" applyFont="1" applyFill="1" applyBorder="1" applyAlignment="1">
      <alignment horizontal="left" vertical="center" wrapText="1"/>
    </xf>
    <xf numFmtId="0" fontId="69" fillId="0" borderId="4" xfId="2" applyFont="1" applyBorder="1" applyAlignment="1" applyProtection="1">
      <alignment vertical="center" wrapText="1"/>
    </xf>
    <xf numFmtId="0" fontId="69" fillId="0" borderId="1" xfId="2" applyFont="1" applyBorder="1" applyAlignment="1" applyProtection="1">
      <alignment vertical="center" wrapText="1"/>
    </xf>
    <xf numFmtId="0" fontId="69" fillId="6" borderId="1" xfId="2" applyFont="1" applyFill="1" applyBorder="1" applyAlignment="1" applyProtection="1">
      <alignment vertical="center" wrapText="1"/>
    </xf>
    <xf numFmtId="0" fontId="28" fillId="0" borderId="1" xfId="0" applyFont="1" applyBorder="1" applyAlignment="1">
      <alignment horizontal="center" vertical="center" wrapText="1"/>
    </xf>
    <xf numFmtId="0" fontId="28" fillId="5" borderId="1" xfId="0" applyFont="1" applyFill="1" applyBorder="1" applyAlignment="1">
      <alignment horizontal="center" vertical="center" wrapText="1"/>
    </xf>
    <xf numFmtId="0" fontId="69" fillId="0" borderId="1" xfId="2" applyFont="1" applyFill="1" applyBorder="1" applyAlignment="1" applyProtection="1">
      <alignment vertical="center"/>
    </xf>
    <xf numFmtId="0" fontId="55" fillId="0" borderId="1" xfId="1" applyFont="1" applyFill="1" applyBorder="1" applyAlignment="1">
      <alignment horizontal="left" vertical="center"/>
    </xf>
    <xf numFmtId="0" fontId="52" fillId="30" borderId="1" xfId="0" applyFont="1" applyFill="1" applyBorder="1" applyAlignment="1" applyProtection="1">
      <alignment horizontal="center" vertical="center" wrapText="1"/>
      <protection locked="0"/>
    </xf>
    <xf numFmtId="0" fontId="52" fillId="0" borderId="1" xfId="1" applyFont="1" applyFill="1" applyBorder="1" applyAlignment="1" applyProtection="1">
      <alignment horizontal="center" vertical="center" wrapText="1"/>
      <protection locked="0"/>
    </xf>
    <xf numFmtId="0" fontId="52" fillId="30" borderId="1" xfId="1" applyFont="1" applyFill="1" applyBorder="1" applyAlignment="1" applyProtection="1">
      <alignment horizontal="center" vertical="center" wrapText="1"/>
      <protection locked="0"/>
    </xf>
    <xf numFmtId="0" fontId="65" fillId="30" borderId="1" xfId="0" applyFont="1" applyFill="1" applyBorder="1" applyAlignment="1" applyProtection="1">
      <alignment horizontal="centerContinuous" vertical="center"/>
      <protection locked="0"/>
    </xf>
    <xf numFmtId="0" fontId="71" fillId="30" borderId="1" xfId="0" applyFont="1" applyFill="1" applyBorder="1" applyProtection="1">
      <protection locked="0"/>
    </xf>
    <xf numFmtId="0" fontId="65" fillId="29" borderId="1" xfId="0" applyFont="1" applyFill="1" applyBorder="1" applyAlignment="1">
      <alignment horizontal="centerContinuous" vertical="center"/>
    </xf>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center"/>
    </xf>
    <xf numFmtId="1" fontId="1" fillId="0" borderId="0" xfId="0" applyNumberFormat="1" applyFont="1" applyAlignment="1">
      <alignment horizontal="center"/>
    </xf>
    <xf numFmtId="168" fontId="1" fillId="0" borderId="0" xfId="0" applyNumberFormat="1" applyFont="1" applyAlignment="1">
      <alignment horizontal="left"/>
    </xf>
    <xf numFmtId="0" fontId="1" fillId="0" borderId="0" xfId="0" applyFont="1" applyAlignment="1">
      <alignment horizontal="right"/>
    </xf>
    <xf numFmtId="0" fontId="1" fillId="29" borderId="1" xfId="0" applyFont="1" applyFill="1" applyBorder="1" applyAlignment="1">
      <alignment horizontal="center" vertical="center"/>
    </xf>
    <xf numFmtId="0" fontId="1" fillId="0" borderId="4" xfId="0" applyFont="1" applyBorder="1" applyAlignment="1">
      <alignment horizontal="righ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vertical="center"/>
    </xf>
    <xf numFmtId="1" fontId="1" fillId="0" borderId="1" xfId="0" applyNumberFormat="1" applyFont="1" applyBorder="1" applyAlignment="1">
      <alignment horizontal="right" vertical="center"/>
    </xf>
    <xf numFmtId="168" fontId="1" fillId="0" borderId="1" xfId="0" applyNumberFormat="1" applyFont="1" applyBorder="1" applyAlignment="1">
      <alignment horizontal="left" vertical="center"/>
    </xf>
    <xf numFmtId="168" fontId="1" fillId="0" borderId="1" xfId="0" applyNumberFormat="1" applyFont="1" applyBorder="1" applyAlignment="1">
      <alignment horizontal="right" vertical="center"/>
    </xf>
    <xf numFmtId="0" fontId="1" fillId="0" borderId="1" xfId="0" applyFont="1" applyBorder="1" applyAlignment="1">
      <alignment horizontal="right" vertical="center"/>
    </xf>
    <xf numFmtId="0" fontId="1" fillId="0" borderId="1" xfId="0" applyFont="1" applyBorder="1"/>
    <xf numFmtId="0" fontId="1" fillId="0" borderId="4" xfId="0" applyFont="1" applyBorder="1" applyAlignment="1">
      <alignment vertical="center"/>
    </xf>
    <xf numFmtId="168" fontId="1" fillId="0" borderId="4" xfId="0" applyNumberFormat="1" applyFont="1" applyBorder="1" applyAlignment="1">
      <alignment horizontal="left" vertical="center"/>
    </xf>
    <xf numFmtId="0" fontId="1" fillId="0" borderId="1" xfId="0" applyFont="1" applyBorder="1" applyAlignment="1">
      <alignment horizontal="center" vertical="center" wrapText="1"/>
    </xf>
    <xf numFmtId="168" fontId="1" fillId="0" borderId="5" xfId="0" applyNumberFormat="1" applyFont="1" applyBorder="1" applyAlignment="1">
      <alignment horizontal="left" vertical="center"/>
    </xf>
    <xf numFmtId="0" fontId="1" fillId="0" borderId="4" xfId="0" applyFont="1" applyBorder="1" applyAlignment="1">
      <alignment horizontal="center" vertical="center" wrapText="1"/>
    </xf>
    <xf numFmtId="0" fontId="1" fillId="0" borderId="1" xfId="0" applyFont="1" applyBorder="1" applyAlignment="1">
      <alignment horizontal="right" vertical="center" wrapText="1"/>
    </xf>
    <xf numFmtId="1" fontId="1" fillId="6" borderId="1" xfId="0" applyNumberFormat="1" applyFont="1" applyFill="1" applyBorder="1" applyAlignment="1">
      <alignment horizontal="right" vertical="center"/>
    </xf>
    <xf numFmtId="168" fontId="1" fillId="6" borderId="1" xfId="0" applyNumberFormat="1" applyFont="1" applyFill="1" applyBorder="1" applyAlignment="1">
      <alignment horizontal="left" vertical="center"/>
    </xf>
    <xf numFmtId="168" fontId="1" fillId="6" borderId="1" xfId="0" applyNumberFormat="1" applyFont="1" applyFill="1" applyBorder="1" applyAlignment="1">
      <alignment horizontal="right" vertical="center"/>
    </xf>
    <xf numFmtId="168" fontId="1" fillId="17" borderId="1" xfId="0" applyNumberFormat="1" applyFont="1" applyFill="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0" xfId="0" applyFont="1"/>
    <xf numFmtId="1" fontId="1" fillId="0" borderId="0" xfId="0" applyNumberFormat="1" applyFont="1"/>
    <xf numFmtId="0" fontId="1" fillId="0" borderId="0" xfId="0" applyFont="1" applyAlignment="1">
      <alignment horizontal="center" wrapText="1"/>
    </xf>
    <xf numFmtId="0" fontId="1" fillId="0" borderId="4" xfId="0" applyFont="1" applyBorder="1" applyAlignment="1">
      <alignment vertical="center" wrapText="1"/>
    </xf>
    <xf numFmtId="175" fontId="1" fillId="0" borderId="4" xfId="5" applyNumberFormat="1" applyFont="1" applyFill="1" applyBorder="1" applyAlignment="1">
      <alignment vertical="center" wrapText="1"/>
    </xf>
    <xf numFmtId="0" fontId="1" fillId="6" borderId="1" xfId="0" applyFont="1" applyFill="1" applyBorder="1" applyAlignment="1">
      <alignment vertical="center" wrapText="1"/>
    </xf>
    <xf numFmtId="0" fontId="1" fillId="0" borderId="1" xfId="0" applyFont="1" applyBorder="1" applyAlignment="1">
      <alignment horizontal="center"/>
    </xf>
    <xf numFmtId="0" fontId="1" fillId="0" borderId="1" xfId="0" applyFont="1" applyBorder="1" applyAlignment="1">
      <alignment wrapText="1"/>
    </xf>
    <xf numFmtId="165" fontId="1" fillId="0" borderId="0" xfId="5" applyFont="1" applyFill="1" applyBorder="1" applyAlignment="1">
      <alignment vertical="center" wrapText="1"/>
    </xf>
    <xf numFmtId="0" fontId="1" fillId="0" borderId="0" xfId="0" applyFont="1" applyAlignment="1">
      <alignment wrapText="1"/>
    </xf>
    <xf numFmtId="165" fontId="1" fillId="0" borderId="0" xfId="0" applyNumberFormat="1" applyFont="1"/>
    <xf numFmtId="175" fontId="1" fillId="0" borderId="0" xfId="5" applyNumberFormat="1" applyFont="1" applyFill="1" applyBorder="1" applyAlignment="1">
      <alignment vertical="center" wrapText="1"/>
    </xf>
    <xf numFmtId="175" fontId="1" fillId="0" borderId="0" xfId="0" applyNumberFormat="1" applyFont="1"/>
    <xf numFmtId="176" fontId="1" fillId="0" borderId="0" xfId="0" applyNumberFormat="1" applyFont="1"/>
    <xf numFmtId="166" fontId="1" fillId="0" borderId="0" xfId="3" applyFont="1" applyAlignment="1">
      <alignment wrapText="1"/>
    </xf>
    <xf numFmtId="44" fontId="1" fillId="0" borderId="0" xfId="0" applyNumberFormat="1" applyFont="1"/>
    <xf numFmtId="168" fontId="1" fillId="14" borderId="1" xfId="0" applyNumberFormat="1" applyFont="1" applyFill="1" applyBorder="1" applyAlignment="1">
      <alignment horizontal="right" vertical="center"/>
    </xf>
    <xf numFmtId="168" fontId="1" fillId="8" borderId="1" xfId="0" applyNumberFormat="1" applyFont="1" applyFill="1" applyBorder="1" applyAlignment="1">
      <alignment horizontal="right" vertical="center"/>
    </xf>
    <xf numFmtId="168" fontId="1" fillId="8" borderId="1" xfId="0" applyNumberFormat="1" applyFont="1" applyFill="1" applyBorder="1" applyAlignment="1">
      <alignment horizontal="left" vertical="center"/>
    </xf>
    <xf numFmtId="1" fontId="52" fillId="0" borderId="6" xfId="1" applyNumberFormat="1" applyFont="1" applyFill="1" applyBorder="1" applyAlignment="1">
      <alignment horizontal="center" vertical="center" wrapText="1"/>
    </xf>
    <xf numFmtId="1" fontId="1" fillId="0" borderId="6" xfId="0" applyNumberFormat="1" applyFont="1" applyBorder="1" applyAlignment="1">
      <alignment horizontal="right" vertical="center"/>
    </xf>
    <xf numFmtId="168" fontId="52" fillId="0" borderId="2" xfId="1" applyNumberFormat="1" applyFont="1" applyFill="1" applyBorder="1" applyAlignment="1" applyProtection="1">
      <alignment horizontal="center" vertical="center" wrapText="1"/>
      <protection locked="0"/>
    </xf>
    <xf numFmtId="167" fontId="0" fillId="0" borderId="0" xfId="4" applyFont="1"/>
    <xf numFmtId="177" fontId="52" fillId="0" borderId="0" xfId="4" applyNumberFormat="1" applyFont="1" applyAlignment="1">
      <alignment horizontal="center" vertical="center"/>
    </xf>
    <xf numFmtId="178" fontId="1" fillId="0" borderId="0" xfId="0" applyNumberFormat="1" applyFont="1"/>
    <xf numFmtId="179" fontId="1" fillId="0" borderId="2" xfId="0" applyNumberFormat="1" applyFont="1" applyBorder="1" applyAlignment="1">
      <alignment horizontal="right" vertical="center"/>
    </xf>
    <xf numFmtId="171" fontId="65" fillId="26" borderId="0" xfId="0" applyNumberFormat="1" applyFont="1" applyFill="1" applyAlignment="1">
      <alignment horizontal="center" vertical="center"/>
    </xf>
    <xf numFmtId="175" fontId="1" fillId="0" borderId="0" xfId="0" applyNumberFormat="1" applyFont="1" applyAlignment="1">
      <alignment horizontal="center"/>
    </xf>
    <xf numFmtId="0" fontId="44" fillId="23" borderId="5" xfId="0" applyFont="1" applyFill="1" applyBorder="1" applyAlignment="1">
      <alignment horizontal="center" vertical="center" readingOrder="1"/>
    </xf>
    <xf numFmtId="0" fontId="44" fillId="23" borderId="4" xfId="0" applyFont="1" applyFill="1" applyBorder="1" applyAlignment="1">
      <alignment horizontal="center" vertical="center" readingOrder="1"/>
    </xf>
    <xf numFmtId="0" fontId="44" fillId="23" borderId="5" xfId="0" applyFont="1" applyFill="1" applyBorder="1" applyAlignment="1">
      <alignment horizontal="center" vertical="center" wrapText="1" readingOrder="1"/>
    </xf>
    <xf numFmtId="0" fontId="44" fillId="23" borderId="4" xfId="0" applyFont="1" applyFill="1" applyBorder="1" applyAlignment="1">
      <alignment horizontal="center" vertical="center" wrapText="1" readingOrder="1"/>
    </xf>
    <xf numFmtId="0" fontId="44" fillId="23" borderId="5" xfId="0" applyFont="1" applyFill="1" applyBorder="1" applyAlignment="1">
      <alignment horizontal="center" wrapText="1" readingOrder="1"/>
    </xf>
    <xf numFmtId="0" fontId="44" fillId="23" borderId="4" xfId="0" applyFont="1" applyFill="1" applyBorder="1" applyAlignment="1">
      <alignment horizontal="center" wrapText="1" readingOrder="1"/>
    </xf>
    <xf numFmtId="0" fontId="44" fillId="23" borderId="7" xfId="0" applyFont="1" applyFill="1" applyBorder="1" applyAlignment="1">
      <alignment horizontal="center" vertical="center" readingOrder="1"/>
    </xf>
    <xf numFmtId="0" fontId="44" fillId="23" borderId="5" xfId="0" applyFont="1" applyFill="1" applyBorder="1" applyAlignment="1">
      <alignment horizontal="center" readingOrder="1"/>
    </xf>
    <xf numFmtId="0" fontId="44" fillId="23" borderId="4" xfId="0" applyFont="1" applyFill="1" applyBorder="1" applyAlignment="1">
      <alignment horizontal="center" readingOrder="1"/>
    </xf>
    <xf numFmtId="0" fontId="44" fillId="23" borderId="7" xfId="0" applyFont="1" applyFill="1" applyBorder="1" applyAlignment="1">
      <alignment horizontal="center" vertical="center" wrapText="1" readingOrder="1"/>
    </xf>
  </cellXfs>
  <cellStyles count="14">
    <cellStyle name="HeaderStyle" xfId="1" xr:uid="{00000000-0005-0000-0000-000003000000}"/>
    <cellStyle name="Hipervínculo" xfId="2" builtinId="8"/>
    <cellStyle name="Hyperlink" xfId="12" xr:uid="{00000000-000B-0000-0000-000008000000}"/>
    <cellStyle name="Millares [0]" xfId="3" builtinId="6"/>
    <cellStyle name="Moneda" xfId="4" builtinId="4"/>
    <cellStyle name="Moneda [0]" xfId="5" builtinId="7"/>
    <cellStyle name="Moneda [0] 2" xfId="6" xr:uid="{00000000-0005-0000-0000-000005000000}"/>
    <cellStyle name="Moneda 2" xfId="7" xr:uid="{00000000-0005-0000-0000-000006000000}"/>
    <cellStyle name="Moneda 3" xfId="13" xr:uid="{00000000-0005-0000-0000-000039000000}"/>
    <cellStyle name="Moneda 3 2" xfId="8" xr:uid="{00000000-0005-0000-0000-000007000000}"/>
    <cellStyle name="Normal" xfId="0" builtinId="0"/>
    <cellStyle name="Normal 2" xfId="9" xr:uid="{00000000-0005-0000-0000-000009000000}"/>
    <cellStyle name="Normal 3" xfId="10" xr:uid="{00000000-0005-0000-0000-00000A000000}"/>
    <cellStyle name="Normal 3 2" xfId="11" xr:uid="{00000000-0005-0000-0000-00000B000000}"/>
  </cellStyles>
  <dxfs count="5">
    <dxf>
      <numFmt numFmtId="165" formatCode="_(&quot;$&quot;\ * #,##0_);_(&quot;$&quot;\ * \(#,##0\);_(&quot;$&quot;\ * &quot;-&quot;_);_(@_)"/>
    </dxf>
    <dxf>
      <numFmt numFmtId="165" formatCode="_(&quot;$&quot;\ * #,##0_);_(&quot;$&quot;\ * \(#,##0\);_(&quot;$&quot;\ * &quot;-&quot;_);_(@_)"/>
    </dxf>
    <dxf>
      <numFmt numFmtId="165" formatCode="_(&quot;$&quot;\ * #,##0_);_(&quot;$&quot;\ * \(#,##0\);_(&quot;$&quot;\ * &quot;-&quot;_);_(@_)"/>
    </dxf>
    <dxf>
      <numFmt numFmtId="165" formatCode="_(&quot;$&quot;\ * #,##0_);_(&quot;$&quot;\ * \(#,##0\);_(&quot;$&quot;\ * &quot;-&quot;_);_(@_)"/>
    </dxf>
    <dxf>
      <numFmt numFmtId="165" formatCode="_(&quot;$&quot;\ * #,##0_);_(&quot;$&quot;\ * \(#,##0\);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152400</xdr:rowOff>
    </xdr:from>
    <xdr:to>
      <xdr:col>0</xdr:col>
      <xdr:colOff>1581150</xdr:colOff>
      <xdr:row>0</xdr:row>
      <xdr:rowOff>1125855</xdr:rowOff>
    </xdr:to>
    <xdr:pic>
      <xdr:nvPicPr>
        <xdr:cNvPr id="1444" name="Imagen 1" descr="LOGO ICC 2012  ULTIMO 16.26.32.png">
          <a:extLst>
            <a:ext uri="{FF2B5EF4-FFF2-40B4-BE49-F238E27FC236}">
              <a16:creationId xmlns:a16="http://schemas.microsoft.com/office/drawing/2014/main" id="{F47CE08B-E0DC-4443-9BA5-A3B60ED34E5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152400"/>
          <a:ext cx="9525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203200</xdr:rowOff>
    </xdr:from>
    <xdr:to>
      <xdr:col>0</xdr:col>
      <xdr:colOff>2306320</xdr:colOff>
      <xdr:row>585</xdr:row>
      <xdr:rowOff>1915458</xdr:rowOff>
    </xdr:to>
    <xdr:pic>
      <xdr:nvPicPr>
        <xdr:cNvPr id="3" name="Imagen 1" descr="LOGO ICC 2012  ULTIMO 16.26.32.png">
          <a:extLst>
            <a:ext uri="{FF2B5EF4-FFF2-40B4-BE49-F238E27FC236}">
              <a16:creationId xmlns:a16="http://schemas.microsoft.com/office/drawing/2014/main" id="{3970CF9B-B12F-074F-B4C6-3D2DB7EF1B92}"/>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203200"/>
          <a:ext cx="1879600" cy="187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20</xdr:row>
      <xdr:rowOff>0</xdr:rowOff>
    </xdr:from>
    <xdr:to>
      <xdr:col>2</xdr:col>
      <xdr:colOff>304800</xdr:colOff>
      <xdr:row>20</xdr:row>
      <xdr:rowOff>0</xdr:rowOff>
    </xdr:to>
    <xdr:sp macro="" textlink="">
      <xdr:nvSpPr>
        <xdr:cNvPr id="14338" name="AutoShape 2" descr="Vista previa de imagen">
          <a:extLst>
            <a:ext uri="{FF2B5EF4-FFF2-40B4-BE49-F238E27FC236}">
              <a16:creationId xmlns:a16="http://schemas.microsoft.com/office/drawing/2014/main" id="{42D2E118-B7C2-B242-ACFD-5D807605AD98}"/>
            </a:ext>
          </a:extLst>
        </xdr:cNvPr>
        <xdr:cNvSpPr>
          <a:spLocks noChangeAspect="1" noChangeArrowheads="1"/>
        </xdr:cNvSpPr>
      </xdr:nvSpPr>
      <xdr:spPr bwMode="auto">
        <a:xfrm>
          <a:off x="48641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393700</xdr:colOff>
      <xdr:row>0</xdr:row>
      <xdr:rowOff>0</xdr:rowOff>
    </xdr:from>
    <xdr:to>
      <xdr:col>0</xdr:col>
      <xdr:colOff>1651000</xdr:colOff>
      <xdr:row>0</xdr:row>
      <xdr:rowOff>1206500</xdr:rowOff>
    </xdr:to>
    <xdr:pic>
      <xdr:nvPicPr>
        <xdr:cNvPr id="2" name="Imagen 1" descr="LOGO ICC 2012  ULTIMO 16.26.32.png">
          <a:extLst>
            <a:ext uri="{FF2B5EF4-FFF2-40B4-BE49-F238E27FC236}">
              <a16:creationId xmlns:a16="http://schemas.microsoft.com/office/drawing/2014/main" id="{19D64929-EBF6-7C4C-BBD9-0B1AC6A1D0C3}"/>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700" y="0"/>
          <a:ext cx="1257300" cy="120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34925</xdr:colOff>
      <xdr:row>1</xdr:row>
      <xdr:rowOff>95250</xdr:rowOff>
    </xdr:from>
    <xdr:to>
      <xdr:col>19</xdr:col>
      <xdr:colOff>691305</xdr:colOff>
      <xdr:row>21</xdr:row>
      <xdr:rowOff>133350</xdr:rowOff>
    </xdr:to>
    <xdr:pic>
      <xdr:nvPicPr>
        <xdr:cNvPr id="6" name="Imagen 5">
          <a:extLst>
            <a:ext uri="{FF2B5EF4-FFF2-40B4-BE49-F238E27FC236}">
              <a16:creationId xmlns:a16="http://schemas.microsoft.com/office/drawing/2014/main" id="{A2D1C843-8843-A048-9BAB-64537F4FDF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49925" y="285750"/>
          <a:ext cx="7772400" cy="3924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64</xdr:row>
      <xdr:rowOff>0</xdr:rowOff>
    </xdr:from>
    <xdr:to>
      <xdr:col>2</xdr:col>
      <xdr:colOff>304800</xdr:colOff>
      <xdr:row>64</xdr:row>
      <xdr:rowOff>0</xdr:rowOff>
    </xdr:to>
    <xdr:sp macro="" textlink="">
      <xdr:nvSpPr>
        <xdr:cNvPr id="3" name="AutoShape 2" descr="Vista previa de imagen">
          <a:extLst>
            <a:ext uri="{FF2B5EF4-FFF2-40B4-BE49-F238E27FC236}">
              <a16:creationId xmlns:a16="http://schemas.microsoft.com/office/drawing/2014/main" id="{21AB7FE1-E4BB-5645-900B-4508C82B8D3F}"/>
            </a:ext>
          </a:extLst>
        </xdr:cNvPr>
        <xdr:cNvSpPr>
          <a:spLocks noChangeAspect="1" noChangeArrowheads="1"/>
        </xdr:cNvSpPr>
      </xdr:nvSpPr>
      <xdr:spPr bwMode="auto">
        <a:xfrm>
          <a:off x="10795000" y="3810000"/>
          <a:ext cx="30480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619125</xdr:colOff>
      <xdr:row>0</xdr:row>
      <xdr:rowOff>152400</xdr:rowOff>
    </xdr:from>
    <xdr:to>
      <xdr:col>0</xdr:col>
      <xdr:colOff>619125</xdr:colOff>
      <xdr:row>5</xdr:row>
      <xdr:rowOff>180975</xdr:rowOff>
    </xdr:to>
    <xdr:pic>
      <xdr:nvPicPr>
        <xdr:cNvPr id="2" name="Imagen 1" descr="LOGO ICC 2012  ULTIMO 16.26.32.png">
          <a:extLst>
            <a:ext uri="{FF2B5EF4-FFF2-40B4-BE49-F238E27FC236}">
              <a16:creationId xmlns:a16="http://schemas.microsoft.com/office/drawing/2014/main" id="{9DD73362-E998-F04B-AAB7-63D077AE9DB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152400"/>
          <a:ext cx="9525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Ver1" id="{A5DA134A-B26C-4CF6-AFAD-76C0E9029F9B}">
    <nsvFilter filterId="{0C88EE5A-5FDF-4662-9C3C-226F66288A5C}" ref="A2:W248" tableId="0"/>
  </namedSheetView>
  <namedSheetView name="Ver2" id="{F71AE943-9BCF-459B-B47B-C7DCF636A801}">
    <nsvFilter filterId="{0C88EE5A-5FDF-4662-9C3C-226F66288A5C}" ref="A2:W248" tableId="0"/>
  </namedSheetView>
  <namedSheetView name="Ver3" id="{868EBC0F-FF77-444C-BF46-071DA35326B8}">
    <nsvFilter filterId="{0C88EE5A-5FDF-4662-9C3C-226F66288A5C}" ref="A2:W248" tableId="0"/>
  </namedSheetView>
  <namedSheetView name="Ver4" id="{57D0086E-F5FD-431B-8980-1EFD72C5D18C}">
    <nsvFilter filterId="{0C88EE5A-5FDF-4662-9C3C-226F66288A5C}" ref="A2:W248" tableId="0"/>
  </namedSheetView>
  <namedSheetView name="Vista 1" id="{5FD1354B-E8E7-4C0B-9E32-E932D1E0D9E4}">
    <nsvFilter filterId="{0C88EE5A-5FDF-4662-9C3C-226F66288A5C}" ref="A2:W248" tableId="0"/>
  </namedSheetView>
</namedSheetViews>
</file>

<file path=xl/persons/person.xml><?xml version="1.0" encoding="utf-8"?>
<personList xmlns="http://schemas.microsoft.com/office/spreadsheetml/2018/threadedcomments" xmlns:x="http://schemas.openxmlformats.org/spreadsheetml/2006/main">
  <person displayName="Diana Carolina Ramírez García" id="{3F83C5EC-FC57-49D7-B5D7-F74B098A4EE1}" userId="S::diana.ramirez@CAROYCUERVO.GOV.CO::84f0df32-1e85-45f7-bbfd-393c363ba0e9" providerId="AD"/>
  <person displayName="Cristian Armando Velandia Mora" id="{C49F1AFE-703A-AD4E-818B-5E12D0D759FE}" userId="S::cristian.velandia@caroycuervo.gov.co::b65f919e-8802-4f54-a8ed-a63c1091340e"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552.94086574074" createdVersion="7" refreshedVersion="7" minRefreshableVersion="3" recordCount="233" xr:uid="{18FB93FF-8A6D-F940-8491-529B993537F6}">
  <cacheSource type="worksheet">
    <worksheetSource ref="A12:V12" sheet="1. INVERSIÓN"/>
  </cacheSource>
  <cacheFields count="24">
    <cacheField name="Código UNSPSC (Clasificador de Bienes y Servicios)" numFmtId="0">
      <sharedItems containsMixedTypes="1" containsNumber="1" containsInteger="1" minValue="0" maxValue="93151501"/>
    </cacheField>
    <cacheField name="SUBDIRECCIÓN" numFmtId="0">
      <sharedItems/>
    </cacheField>
    <cacheField name="AREA" numFmtId="0">
      <sharedItems containsBlank="1" count="14">
        <s v="FACULTAD SEMINARIO ANDRÉS BELLO"/>
        <s v="INVESTIGACIÓN"/>
        <s v="GRUPO DE BIBLIOTECA"/>
        <s v="EQUIPO DE EDUCACIÓN CONTINUA"/>
        <s v="TALENTO HUMANO"/>
        <s v="EQUIPO DE COMUNICACIONES Y PRENSA"/>
        <s v="GRUPO DE PROCESOS EDITORIALES"/>
        <s v="EQUIPO DE GESTIÓN DE MUSEOS"/>
        <s v="SUBDIRECCIÓN ACADÉMICA"/>
        <s v="GRUPO DE PLANEACIÓN"/>
        <s v="DIRECCIÓN GENERAL"/>
        <s v="GRUPO DE TECNOLOGÍAS DE LA INFORMACIÓN"/>
        <m u="1"/>
        <s v="RECURSOS FÍSICOS" u="1"/>
      </sharedItems>
    </cacheField>
    <cacheField name="PROCESO" numFmtId="0">
      <sharedItems/>
    </cacheField>
    <cacheField name="PROYECTO CORRESPONDIENTE" numFmtId="0">
      <sharedItems/>
    </cacheField>
    <cacheField name="DESCRIPCIÓN DE LA ADQUISICIÓN" numFmtId="0">
      <sharedItems longText="1"/>
    </cacheField>
    <cacheField name="MES ESTIMADO DE INICIO DEL CONTRATO" numFmtId="0">
      <sharedItems containsString="0" containsBlank="1" containsNumber="1" containsInteger="1" minValue="1" maxValue="10"/>
    </cacheField>
    <cacheField name="FECHA DE PRESENTACIÓN DE OFERTAS" numFmtId="0">
      <sharedItems containsString="0" containsBlank="1" containsNumber="1" containsInteger="1" minValue="1" maxValue="11"/>
    </cacheField>
    <cacheField name="DURACIÓN ESTIMADA DEL CONTRATO (MESES)" numFmtId="0">
      <sharedItems containsString="0" containsBlank="1" containsNumber="1" containsInteger="1" minValue="0" maxValue="11"/>
    </cacheField>
    <cacheField name="DURACIÓN ESTIMADA DEL CONTRATO (DÍAS)" numFmtId="0">
      <sharedItems containsString="0" containsBlank="1" containsNumber="1" containsInteger="1" minValue="0" maxValue="25"/>
    </cacheField>
    <cacheField name="MODALIDAD DE SELECCIÓN" numFmtId="0">
      <sharedItems/>
    </cacheField>
    <cacheField name="FUENTE DE LOS RECURSOS" numFmtId="0">
      <sharedItems containsBlank="1" count="3">
        <s v="NACIÓN"/>
        <s v="PROPIOS"/>
        <m u="1"/>
      </sharedItems>
    </cacheField>
    <cacheField name="VALOR TOTAL ESTIMADO" numFmtId="170">
      <sharedItems containsSemiMixedTypes="0" containsString="0" containsNumber="1" minValue="2148" maxValue="132000000"/>
    </cacheField>
    <cacheField name="CÓDIGO PRESUPUESTAL" numFmtId="0">
      <sharedItems/>
    </cacheField>
    <cacheField name="CODIGO BPIN" numFmtId="1">
      <sharedItems containsSemiMixedTypes="0" containsString="0" containsNumber="1" containsInteger="1" minValue="201891000284" maxValue="2018011000319"/>
    </cacheField>
    <cacheField name="PROYECTO DE INVERSIÓN" numFmtId="0">
      <sharedItems containsBlank="1" count="4">
        <s v="CONSOLIDACIÓN "/>
        <s v="INCREMENTO"/>
        <s v="FORTALECIMIENTO"/>
        <m u="1"/>
      </sharedItems>
    </cacheField>
    <cacheField name="PRODUCTO SUIFP" numFmtId="0">
      <sharedItems count="10">
        <s v="SERVICIOS DE EDUCACIÓN FORMAL DE POSGRADO"/>
        <s v="SERVICIO DE DIVULGACIÓN Y PUBLICACIÓN DEL PATRIMONIO CULTURAL"/>
        <s v="DOCUMENTOS INVESTIGACIÓN"/>
        <s v="SERVICIOS BIBLIOTECARIOS USUARIOS ATENDIDOS"/>
        <s v="SERVICIOS DE EDUCACIÓN INFORMAL PARA LA PROMOCIÓN Y DIVULGACIÓN DE LA DIVERSIDAD LINGÜÍSTICA Y SUS MEDIOS DE EXPRESIÓN Y DIFUSIÓN"/>
        <s v="SERVICIO DE PRODUCCIÓN DE CONTENIDOS EN RADIO EMISORA VIRTUAL"/>
        <s v="SEDES MANTENIDAS"/>
        <s v="SERVICIO DE EXPOSICIONES"/>
        <s v="DOCUMENTOS DE PLANEACIÓN   "/>
        <s v="SERVICIO DE IMPLEMENTACIÓN DEL SISTEMA DE GESTIÓN"/>
      </sharedItems>
    </cacheField>
    <cacheField name="ACTIVIDAD" numFmtId="0">
      <sharedItems/>
    </cacheField>
    <cacheField name="SE REQUIEREN VIGENCIAS FUTURAS" numFmtId="0">
      <sharedItems/>
    </cacheField>
    <cacheField name="VALOR A SOLICITAR EN VIGENCIAS FUTURAS" numFmtId="168">
      <sharedItems containsSemiMixedTypes="0" containsString="0" containsNumber="1" containsInteger="1" minValue="0" maxValue="44000000"/>
    </cacheField>
    <cacheField name="ESTADO DE SOLICITUD DE VIGENCIAS FUTURAS" numFmtId="0">
      <sharedItems/>
    </cacheField>
    <cacheField name="UNIDAD DE CONTRATACIÓN" numFmtId="0">
      <sharedItems/>
    </cacheField>
    <cacheField name="NOMBRES Y APELLIDOS DEL RESPONSABLE DEL PROCESO CONTRACTUAL" numFmtId="0">
      <sharedItems/>
    </cacheField>
    <cacheField name="TELÉFONO DEL RESPONSABLE" numFmtId="0">
      <sharedItems containsSemiMixedTypes="0" containsString="0" containsNumber="1" containsInteger="1" minValue="3422121" maxValue="342212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arolina" refreshedDate="44575.504394212963" createdVersion="7" refreshedVersion="7" minRefreshableVersion="3" recordCount="69" xr:uid="{58B9B93B-ED69-8042-BCF9-2AE08005A2B5}">
  <cacheSource type="worksheet">
    <worksheetSource ref="A2:W71" sheet="3. FUNCIONAMIENTO FINAL"/>
  </cacheSource>
  <cacheFields count="23">
    <cacheField name="Código UNSPSC (Clasificador de Bienes y Servicios)" numFmtId="0">
      <sharedItems containsBlank="1" containsMixedTypes="1" containsNumber="1" containsInteger="1" minValue="20102301" maxValue="93141506"/>
    </cacheField>
    <cacheField name="SUBDIRECCIÓN" numFmtId="0">
      <sharedItems/>
    </cacheField>
    <cacheField name="PROCESO" numFmtId="0">
      <sharedItems count="6">
        <s v="GESTIÓN TALENTO HUMANO"/>
        <s v="GESTIÓN ADMINISTRATIVA"/>
        <s v="CONTABILIDAD Y PRESUPUESTO"/>
        <s v="DIRECCIONAMIENTO ESTRATÉGICO"/>
        <s v="GESTIÓN CONTRACTUAL"/>
        <s v="GESTIÓN DE TECNOLOGÍAS DE LA INFORMACIÓN Y LAS COMUNICACIONES"/>
      </sharedItems>
    </cacheField>
    <cacheField name="PROYECTO CORRESPONDIENTE" numFmtId="0">
      <sharedItems/>
    </cacheField>
    <cacheField name="DESCRIPCIÓN DE LA ADQUISICIÓN" numFmtId="0">
      <sharedItems containsBlank="1" longText="1"/>
    </cacheField>
    <cacheField name="MES ESTIMADO DE INICIO DEL CONTRATO" numFmtId="0">
      <sharedItems containsBlank="1"/>
    </cacheField>
    <cacheField name="FECHA DE PRESENTACIÓN DE OFERTAS" numFmtId="0">
      <sharedItems containsBlank="1"/>
    </cacheField>
    <cacheField name="DURACIÓN ESTIMADA DEL CONTRATO (MESES)" numFmtId="0">
      <sharedItems containsBlank="1" containsMixedTypes="1" containsNumber="1" containsInteger="1" minValue="1" maxValue="12"/>
    </cacheField>
    <cacheField name="DURACIÓN ESTIMADA DEL CONTRATO (DÍAS)" numFmtId="0">
      <sharedItems containsBlank="1" containsMixedTypes="1" containsNumber="1" containsInteger="1" minValue="15" maxValue="30"/>
    </cacheField>
    <cacheField name="MODALIDAD DE SELECCIÓN" numFmtId="0">
      <sharedItems containsBlank="1"/>
    </cacheField>
    <cacheField name="FUENTE DE LOS RECURSOS" numFmtId="0">
      <sharedItems containsBlank="1"/>
    </cacheField>
    <cacheField name="VALOR TOTAL ESTIMADO" numFmtId="0">
      <sharedItems containsSemiMixedTypes="0" containsString="0" containsNumber="1" containsInteger="1" minValue="241488" maxValue="6213858439"/>
    </cacheField>
    <cacheField name="VALOR ESTIMADO DE LA VIGENCIA ACTUAL" numFmtId="0">
      <sharedItems containsString="0" containsBlank="1" containsNumber="1" minValue="0" maxValue="470987557"/>
    </cacheField>
    <cacheField name="SE REQUIEREN VIGENCIAS FUTURAS" numFmtId="0">
      <sharedItems containsBlank="1"/>
    </cacheField>
    <cacheField name="VALOR A SOLICITAR EN VIGENCIAS FUTURAS" numFmtId="165">
      <sharedItems containsSemiMixedTypes="0" containsString="0" containsNumber="1" containsInteger="1" minValue="0" maxValue="4500000"/>
    </cacheField>
    <cacheField name="ESTADO DE SOLICITUD DE VIGENCIAS FUTURAS" numFmtId="0">
      <sharedItems/>
    </cacheField>
    <cacheField name="UNIDAD DE CONTRATACIÓN" numFmtId="0">
      <sharedItems containsBlank="1"/>
    </cacheField>
    <cacheField name="NOMBRES Y APELLIDOS DEL RESPONSABLE DEL PROCESO CONTRACTUAL" numFmtId="0">
      <sharedItems/>
    </cacheField>
    <cacheField name="TELÉFONO DEL RESPONSABLE" numFmtId="0">
      <sharedItems containsString="0" containsBlank="1" containsNumber="1" containsInteger="1" minValue="3422121" maxValue="3422121"/>
    </cacheField>
    <cacheField name="CORREO ELECTRÓNICO DEL RESPONSABLE" numFmtId="0">
      <sharedItems/>
    </cacheField>
    <cacheField name="OBSERVACIONES" numFmtId="0">
      <sharedItems/>
    </cacheField>
    <cacheField name="POSIBLE CONTRATISTA" numFmtId="0">
      <sharedItems containsNonDate="0" containsString="0" containsBlank="1"/>
    </cacheField>
    <cacheField name="CUENTA PRESUPUESTAL" numFmtId="0">
      <sharedItems count="6">
        <s v="GASTOS DE PERSONAL"/>
        <s v="TRANSFERENCIAS CORRIENTES"/>
        <s v="TASA Y DERECHO ADMINISTRATIVO"/>
        <s v="IMPUESTOS"/>
        <s v="CUOTA DE AUDITAJE"/>
        <s v="ADQUISICIÓN DE BIENES Y SERVICIOS"/>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arolina" refreshedDate="44575.50439548611" createdVersion="6" refreshedVersion="7" minRefreshableVersion="3" recordCount="236" xr:uid="{AC16078E-413F-42E2-8BB1-1B28FF7BE2CE}">
  <cacheSource type="worksheet">
    <worksheetSource ref="A2:W245" sheet="1. INVERSIÓN"/>
  </cacheSource>
  <cacheFields count="34">
    <cacheField name="Código UNSPSC (Clasificador de Bienes y Servicios)" numFmtId="0">
      <sharedItems containsMixedTypes="1" containsNumber="1" containsInteger="1" minValue="0" maxValue="93151501"/>
    </cacheField>
    <cacheField name="SUBDIRECCIÓN" numFmtId="0">
      <sharedItems/>
    </cacheField>
    <cacheField name="ÁREA" numFmtId="0">
      <sharedItems/>
    </cacheField>
    <cacheField name="PROCESO" numFmtId="0">
      <sharedItems/>
    </cacheField>
    <cacheField name="PROYECTO CORRESPONDIENTE" numFmtId="0">
      <sharedItems/>
    </cacheField>
    <cacheField name="DESCRIPCIÓN DE LA ADQUISICIÓN" numFmtId="0">
      <sharedItems longText="1"/>
    </cacheField>
    <cacheField name="MES ESTIMADO DE INICIO DEL CONTRATO" numFmtId="0">
      <sharedItems containsString="0" containsBlank="1" containsNumber="1" containsInteger="1" minValue="1" maxValue="10"/>
    </cacheField>
    <cacheField name="FECHA DE PRESENTACIÓN DE OFERTAS" numFmtId="0">
      <sharedItems containsString="0" containsBlank="1" containsNumber="1" containsInteger="1" minValue="1" maxValue="11"/>
    </cacheField>
    <cacheField name="DURACIÓN ESTIMADA DEL CONTRATO (MESES)" numFmtId="0">
      <sharedItems containsSemiMixedTypes="0" containsString="0" containsNumber="1" containsInteger="1" minValue="0" maxValue="11"/>
    </cacheField>
    <cacheField name="DURACIÓN ESTIMADA DEL CONTRATO (DÍAS)" numFmtId="0">
      <sharedItems containsString="0" containsBlank="1" containsNumber="1" containsInteger="1" minValue="0" maxValue="25"/>
    </cacheField>
    <cacheField name="MODALIDAD DE SELECCIÓN" numFmtId="0">
      <sharedItems/>
    </cacheField>
    <cacheField name="FUENTE DE LOS RECURSOS" numFmtId="0">
      <sharedItems count="2">
        <s v="NACIÓN"/>
        <s v="PROPIOS"/>
      </sharedItems>
    </cacheField>
    <cacheField name="VALOR INICIAL" numFmtId="179">
      <sharedItems containsSemiMixedTypes="0" containsString="0" containsNumber="1" containsInteger="1" minValue="0" maxValue="132000000"/>
    </cacheField>
    <cacheField name="VALOR MODIFICACIONES" numFmtId="179">
      <sharedItems containsString="0" containsBlank="1" containsNumber="1" containsInteger="1" minValue="-7360555" maxValue="15000000"/>
    </cacheField>
    <cacheField name="VALOR FINAL" numFmtId="179">
      <sharedItems containsSemiMixedTypes="0" containsString="0" containsNumber="1" containsInteger="1" minValue="0" maxValue="132000000"/>
    </cacheField>
    <cacheField name="VALOR MENSUAL_x000a_COLUMNA DILIGENCIABLE POR FINANCIERA" numFmtId="171">
      <sharedItems containsString="0" containsBlank="1" containsNumber="1" containsInteger="1" minValue="1016696" maxValue="8058596"/>
    </cacheField>
    <cacheField name="CODIGO BPIN" numFmtId="1">
      <sharedItems containsSemiMixedTypes="0" containsString="0" containsNumber="1" containsInteger="1" minValue="2018011000284" maxValue="2018011000319"/>
    </cacheField>
    <cacheField name="PROYECTO DE INVERSIÓN" numFmtId="168">
      <sharedItems count="6">
        <s v="CONSOLIDACIÓN DE LAS FUNCIONES MISIONALES, FORMACIÓN, DOCENCIA Y APROPIACIÓN SOCIAL_x000a_DEL CONOCIMIENTO, DEL INSTITUTO CARO Y CUERVO A NIVEL NACIONAL BOGOTÁ, CHÍA"/>
        <s v="INCREMENTO DE RECURSOS FÍSICOS PARA EL APOYO ACADÉMICO Y MUSEAL DEL INSTITUTO CARO_x000a_Y CUERVO BOGOTÁ"/>
        <s v="FORTALECIMIENTO DE LOS SISTEMAS DE GESTIÓN PARA LA ADECUACIÓN, PROTECCIÓN Y_x000a_SALVAGUARDIA DEL PATRIMONIO CULTURAL DEL INSTITUTO CARO Y CUERVO BOGOTÁ"/>
        <s v="CONSOLIDACIÓN " u="1"/>
        <s v="INCREMENTO" u="1"/>
        <s v="FORTALECIMIENTO" u="1"/>
      </sharedItems>
    </cacheField>
    <cacheField name="CÓDIGO PRESUPUESTAL" numFmtId="0">
      <sharedItems/>
    </cacheField>
    <cacheField name="PRODUCTO SUIFP" numFmtId="0">
      <sharedItems count="10">
        <s v="SERVICIOS DE EDUCACIÓN FORMAL DE POSGRADO"/>
        <s v="SERVICIO DE DIVULGACIÓN Y PUBLICACIÓN DEL PATRIMONIO CULTURAL"/>
        <s v="DOCUMENTOS INVESTIGACIÓN"/>
        <s v="SERVICIOS BIBLIOTECARIOS USUARIOS ATENDIDOS"/>
        <s v="SERVICIOS DE EDUCACIÓN INFORMAL PARA LA PROMOCIÓN Y DIVULGACIÓN DE LA DIVERSIDAD LINGÜÍSTICA Y SUS MEDIOS DE EXPRESIÓN Y DIFUSIÓN"/>
        <s v="SEDES MANTENIDAS"/>
        <s v="SERVICIO DE EXPOSICIONES"/>
        <s v="SERVICIO DE PRODUCCIÓN DE CONTENIDOS EN RADIO EMISORA VIRTUAL"/>
        <s v="DOCUMENTOS DE PLANEACIÓN   "/>
        <s v="SERVICIO DE IMPLEMENTACIÓN DEL SISTEMA DE GESTIÓN"/>
      </sharedItems>
    </cacheField>
    <cacheField name="ACTIVIDAD" numFmtId="0">
      <sharedItems/>
    </cacheField>
    <cacheField name="SE REQUIEREN VIGENCIAS FUTURAS" numFmtId="0">
      <sharedItems containsBlank="1"/>
    </cacheField>
    <cacheField name="VALOR A SOLICITAR EN VIGENCIAS FUTURAS" numFmtId="168">
      <sharedItems containsString="0" containsBlank="1" containsNumber="1" containsInteger="1" minValue="0" maxValue="44000000"/>
    </cacheField>
    <cacheField name="ESTADO DE SOLICITUD DE VIGENCIAS FUTURAS" numFmtId="0">
      <sharedItems containsBlank="1"/>
    </cacheField>
    <cacheField name="UNIDAD DE CONTRATACIÓN" numFmtId="0">
      <sharedItems containsBlank="1"/>
    </cacheField>
    <cacheField name="NOMBRES Y APELLIDOS DEL RESPONSABLE DEL PROCESO CONTRACTUAL" numFmtId="0">
      <sharedItems containsBlank="1"/>
    </cacheField>
    <cacheField name="TELÉFONO DEL RESPONSABLE" numFmtId="0">
      <sharedItems containsString="0" containsBlank="1" containsNumber="1" containsInteger="1" minValue="3422121" maxValue="3422121"/>
    </cacheField>
    <cacheField name="CORREO ELECTRÓNICO DEL RESPONSABLE" numFmtId="0">
      <sharedItems containsBlank="1"/>
    </cacheField>
    <cacheField name="POSIBLE CONTRATISTA" numFmtId="0">
      <sharedItems containsBlank="1"/>
    </cacheField>
    <cacheField name="ANOTACIONES" numFmtId="0">
      <sharedItems containsBlank="1" longText="1"/>
    </cacheField>
    <cacheField name="PLANEACIÓN" numFmtId="168">
      <sharedItems containsBlank="1"/>
    </cacheField>
    <cacheField name="FINANCIERA" numFmtId="168">
      <sharedItems containsBlank="1"/>
    </cacheField>
    <cacheField name=" CONTRATOS" numFmtId="168">
      <sharedItems containsBlank="1"/>
    </cacheField>
    <cacheField name="OBSERVACIONES EP"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arolina" refreshedDate="44575.505789930554" createdVersion="7" refreshedVersion="7" minRefreshableVersion="3" recordCount="236" xr:uid="{C9438617-42E5-496E-8858-239C9F15F067}">
  <cacheSource type="worksheet">
    <worksheetSource ref="L2:P245" sheet="1. INVERSIÓN"/>
  </cacheSource>
  <cacheFields count="10">
    <cacheField name="FUENTE DE LOS RECURSOS" numFmtId="0">
      <sharedItems count="2">
        <s v="NACIÓN"/>
        <s v="PROPIOS"/>
      </sharedItems>
    </cacheField>
    <cacheField name="VALOR INICIAL" numFmtId="179">
      <sharedItems containsSemiMixedTypes="0" containsString="0" containsNumber="1" containsInteger="1" minValue="0" maxValue="132000000"/>
    </cacheField>
    <cacheField name="VALOR MODIFICACIONES" numFmtId="179">
      <sharedItems containsString="0" containsBlank="1" containsNumber="1" containsInteger="1" minValue="-7360555" maxValue="15000000"/>
    </cacheField>
    <cacheField name="VALOR FINAL" numFmtId="179">
      <sharedItems containsSemiMixedTypes="0" containsString="0" containsNumber="1" containsInteger="1" minValue="0" maxValue="132000000"/>
    </cacheField>
    <cacheField name="VALOR MENSUAL_x000a_COLUMNA DILIGENCIABLE POR FINANCIERA" numFmtId="171">
      <sharedItems containsString="0" containsBlank="1" containsNumber="1" containsInteger="1" minValue="1016696" maxValue="8058596"/>
    </cacheField>
    <cacheField name="CODIGO BPIN" numFmtId="1">
      <sharedItems containsSemiMixedTypes="0" containsString="0" containsNumber="1" containsInteger="1" minValue="2018011000284" maxValue="2018011000319"/>
    </cacheField>
    <cacheField name="PROYECTO DE INVERSIÓN" numFmtId="168">
      <sharedItems count="3">
        <s v="CONSOLIDACIÓN DE LAS FUNCIONES MISIONALES, FORMACIÓN, DOCENCIA Y APROPIACIÓN SOCIAL_x000a_DEL CONOCIMIENTO, DEL INSTITUTO CARO Y CUERVO A NIVEL NACIONAL BOGOTÁ, CHÍA"/>
        <s v="INCREMENTO DE RECURSOS FÍSICOS PARA EL APOYO ACADÉMICO Y MUSEAL DEL INSTITUTO CARO_x000a_Y CUERVO BOGOTÁ"/>
        <s v="FORTALECIMIENTO DE LOS SISTEMAS DE GESTIÓN PARA LA ADECUACIÓN, PROTECCIÓN Y_x000a_SALVAGUARDIA DEL PATRIMONIO CULTURAL DEL INSTITUTO CARO Y CUERVO BOGOTÁ"/>
      </sharedItems>
    </cacheField>
    <cacheField name="CÓDIGO PRESUPUESTAL" numFmtId="0">
      <sharedItems/>
    </cacheField>
    <cacheField name="PRODUCTO SUIFP" numFmtId="0">
      <sharedItems count="10">
        <s v="SERVICIOS DE EDUCACIÓN FORMAL DE POSGRADO"/>
        <s v="SERVICIO DE DIVULGACIÓN Y PUBLICACIÓN DEL PATRIMONIO CULTURAL"/>
        <s v="DOCUMENTOS INVESTIGACIÓN"/>
        <s v="SERVICIOS BIBLIOTECARIOS USUARIOS ATENDIDOS"/>
        <s v="SERVICIOS DE EDUCACIÓN INFORMAL PARA LA PROMOCIÓN Y DIVULGACIÓN DE LA DIVERSIDAD LINGÜÍSTICA Y SUS MEDIOS DE EXPRESIÓN Y DIFUSIÓN"/>
        <s v="SEDES MANTENIDAS"/>
        <s v="SERVICIO DE EXPOSICIONES"/>
        <s v="SERVICIO DE PRODUCCIÓN DE CONTENIDOS EN RADIO EMISORA VIRTUAL"/>
        <s v="DOCUMENTOS DE PLANEACIÓN   "/>
        <s v="SERVICIO DE IMPLEMENTACIÓN DEL SISTEMA DE GESTIÓN"/>
      </sharedItems>
    </cacheField>
    <cacheField name="ACTIVIDA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
  <r>
    <n v="86101600"/>
    <s v="ACADÉMICA"/>
    <x v="0"/>
    <s v="FORMACIÓN"/>
    <s v="MAESTRÍA EN ESCRITURA CREATIVA"/>
    <s v="JURADOS DE TRABAJO DE GRADO. 27 TRABAJOS DE GRADO, 2 JURADOS POR TRABAJO PARA UN TOTAL DE 54 JURADOS. VALOR: $454.263 POR JURADO."/>
    <n v="2"/>
    <n v="2"/>
    <n v="3"/>
    <n v="0"/>
    <s v="CONVENIO"/>
    <x v="0"/>
    <n v="24530202"/>
    <s v="C-3302-1603-2-0-3302067"/>
    <n v="201891000290"/>
    <x v="0"/>
    <x v="0"/>
    <s v="EJECUTAR PROGRAMAS DE POSGRADO CON REGISTRO CALIFICADO VIGENTE"/>
    <s v="NO"/>
    <n v="0"/>
    <s v="N.A"/>
    <s v="GESTIÓN CONTRACTUAL"/>
    <s v="MARÍA OFELIA ROS MATTURRO"/>
    <n v="3422121"/>
  </r>
  <r>
    <n v="86101600"/>
    <s v="ACADÉMICA"/>
    <x v="0"/>
    <s v="FORMACIÓN"/>
    <s v="MAESTRÍA EN ESCRITURA CREATIVA"/>
    <s v="DIRECTORES DE TRABAJO DE GRADO. COMO SON 2 TRABAJOS DE GRADO A DIRIGIR, NECESITAMOS 7 DIRECTORES  PARA EQUILIBRAR LA CARGA LABORAL. VALOR: $1.316.705 POR DIRECTOR"/>
    <n v="2"/>
    <n v="2"/>
    <n v="3"/>
    <n v="0"/>
    <s v="CONVENIO"/>
    <x v="0"/>
    <n v="9216935"/>
    <s v="C-3302-1603-2-0-3302067"/>
    <n v="201891000290"/>
    <x v="0"/>
    <x v="0"/>
    <s v="EJECUTAR PROGRAMAS DE POSGRADO CON REGISTRO CALIFICADO VIGENTE"/>
    <s v="NO"/>
    <n v="0"/>
    <s v="N.A"/>
    <s v="GESTIÓN CONTRACTUAL"/>
    <s v="MARÍA OFELIA ROS MATTURRO"/>
    <n v="3422121"/>
  </r>
  <r>
    <n v="86101600"/>
    <s v="ACADÉMICA"/>
    <x v="0"/>
    <s v="FORMACIÓN"/>
    <s v="MAESTRÍA EN ESTUDIOS EDITORIALES"/>
    <s v="NUEVO ÍTEM: PAGO PARA DIEZ (10) JURADOS DE TRABAJO DE GRADO EXTERNOS"/>
    <n v="2"/>
    <n v="2"/>
    <n v="10"/>
    <n v="0"/>
    <s v="CONVENIO"/>
    <x v="0"/>
    <n v="4542630"/>
    <s v="C-3302-1603-2-0-3302067"/>
    <n v="201891000290"/>
    <x v="0"/>
    <x v="0"/>
    <s v="EJECUTAR PROGRAMAS DE POSGRADO CON REGISTRO CALIFICADO VIGENTE"/>
    <s v="NO"/>
    <n v="0"/>
    <s v="N.A"/>
    <s v="GESTIÓN CONTRACTUAL"/>
    <s v="MARÍA OFELIA ROS MATTURRO"/>
    <n v="3422121"/>
  </r>
  <r>
    <n v="86101600"/>
    <s v="ACADÉMICA"/>
    <x v="0"/>
    <s v="FORMACIÓN"/>
    <s v="MAESTRÍA EN LINGÜÍSTICA"/>
    <s v="DOCENTE HORA CÁTEDRA CON DOCTORADO PARA UNA ELECTIVA I QUE AL MISMO TIEMPO SE ABRE COMO UN CURSO DE EXTENSIÓN EN EL MES DE FEBRERO "/>
    <n v="2"/>
    <n v="5"/>
    <n v="4"/>
    <n v="0"/>
    <s v="CONVENIO"/>
    <x v="0"/>
    <n v="6822159.6799999997"/>
    <s v="C-3302-1603-2-0-3302067"/>
    <n v="201891000290"/>
    <x v="0"/>
    <x v="0"/>
    <s v="EJECUTAR PROGRAMAS DE POSGRADO CON REGISTRO CALIFICADO VIGENTE"/>
    <s v="NO"/>
    <n v="0"/>
    <s v="N.A"/>
    <s v="GESTIÓN CONTRACTUAL"/>
    <s v="MARÍA OFELIA ROS MATTURRO"/>
    <n v="3422121"/>
  </r>
  <r>
    <n v="86101600"/>
    <s v="ACADÉMICA"/>
    <x v="0"/>
    <s v="FORMACIÓN"/>
    <s v="MAESTRÍA EN LINGÜÍSTICA"/>
    <s v="DOCENTE HORA CÁTEDRA CON DOCTORADO PARA UNA ELECTIVA I QUE AL MISMO TIEMPO SE ABRE COMO UN CURSO DE EXTENSIÓN EN EL MES DE AGOSTO"/>
    <n v="8"/>
    <n v="5"/>
    <n v="4"/>
    <n v="0"/>
    <s v="CONVENIO"/>
    <x v="0"/>
    <n v="6822159.6799999997"/>
    <s v="C-3302-1603-2-0-3302067"/>
    <n v="201891000290"/>
    <x v="0"/>
    <x v="0"/>
    <s v="EJECUTAR PROGRAMAS DE POSGRADO CON REGISTRO CALIFICADO VIGENTE"/>
    <s v="NO"/>
    <n v="0"/>
    <s v="N.A"/>
    <s v="GESTIÓN CONTRACTUAL"/>
    <s v="MARÍA OFELIA ROS MATTURRO"/>
    <n v="3422121"/>
  </r>
  <r>
    <n v="86101600"/>
    <s v="ACADÉMICA"/>
    <x v="0"/>
    <s v="FORMACIÓN"/>
    <s v="MAESTRÍA EN LINGÜÍSTICA"/>
    <s v="DIFUSIÓN POR REDES Y PAUTAS PARA LAS JORNADAS DE INVESTIGACIÓN JOSÉ JOAQUÍN MONTES"/>
    <n v="2"/>
    <n v="1"/>
    <n v="0"/>
    <n v="0"/>
    <s v="CONVENIO"/>
    <x v="0"/>
    <n v="1000000"/>
    <s v="C-3302-1603-2-0-3302070"/>
    <n v="201891000290"/>
    <x v="0"/>
    <x v="1"/>
    <s v="REALIZAR ACTIVIDADES DE CONSOLIDACIÓN ACADÉMICA"/>
    <s v="NO"/>
    <n v="0"/>
    <s v="N.A"/>
    <s v="GESTIÓN CONTRACTUAL"/>
    <s v="MARÍA OFELIA ROS MATTURRO"/>
    <n v="3422121"/>
  </r>
  <r>
    <n v="86101600"/>
    <s v="ACADÉMICA"/>
    <x v="0"/>
    <s v="FORMACIÓN"/>
    <s v="MAESTRÍA EN LINGÜÍSTICA"/>
    <s v="1 DIRECTOR DE TRABAJO EXTERNO"/>
    <n v="2"/>
    <n v="1"/>
    <n v="0"/>
    <n v="0"/>
    <s v="CONVENIO"/>
    <x v="0"/>
    <n v="1362789"/>
    <s v="C-3302-1603-2-0-3302067"/>
    <n v="201891000290"/>
    <x v="0"/>
    <x v="0"/>
    <s v="EJECUTAR PROGRAMAS DE POSGRADO CON REGISTRO CALIFICADO VIGENTE"/>
    <s v="NO"/>
    <n v="0"/>
    <s v="N.A"/>
    <s v="GESTIÓN CONTRACTUAL"/>
    <s v="MARÍA OFELIA ROS MATTURRO"/>
    <n v="3422121"/>
  </r>
  <r>
    <n v="90121500"/>
    <s v="ACADÉMICA"/>
    <x v="0"/>
    <s v="FORMACIÓN"/>
    <s v="MAESTRÍA EN LINGÜÍSTICA"/>
    <s v="8 JURADOS DE TRABAJO DE GRADO EXTERNOS PARA EVALUAR 8 TESIS "/>
    <n v="8"/>
    <n v="1"/>
    <n v="0"/>
    <n v="0"/>
    <s v="CONVENIO"/>
    <x v="0"/>
    <n v="3634104"/>
    <s v="C-3302-1603-2-0-3302067"/>
    <n v="201891000290"/>
    <x v="0"/>
    <x v="0"/>
    <s v="EJECUTAR PROGRAMAS DE POSGRADO CON REGISTRO CALIFICADO VIGENTE"/>
    <s v="NO"/>
    <n v="0"/>
    <s v="N.A"/>
    <s v="GESTIÓN CONTRACTUAL"/>
    <s v="MARÍA OFELIA ROS MATTURRO"/>
    <n v="3422121"/>
  </r>
  <r>
    <n v="86101600"/>
    <s v="ACADÉMICA"/>
    <x v="0"/>
    <s v="FORMACIÓN"/>
    <s v="MAESTRÍA EN LINGÜÍSTICA"/>
    <s v="TALLER DE ESCRITURA ACADÉMICA. ACTIVIDAD DE APROPIACIÓN SOCIAL DEL CONOCIMIENTO DE LA MAESTRÍA EN LINGÜÍSTICA DIRIGIDA A ESTUDIANTES UNIVERSITARIOS DEL             PACÍFICO DE COLOMBIA - ACTIVIDAD DEL CONVENIO UTCH-ICC"/>
    <n v="9"/>
    <n v="1"/>
    <n v="0"/>
    <n v="0"/>
    <s v="CONTRATACIÓN DIRECTA"/>
    <x v="1"/>
    <n v="6000000"/>
    <s v="C-3302-1603-2-0-3302070"/>
    <n v="201891000290"/>
    <x v="0"/>
    <x v="1"/>
    <s v="REALIZAR ACTIVIDADES DE CONSOLIDACIÓN ACADÉMICA"/>
    <s v="NO"/>
    <n v="0"/>
    <s v="N.A"/>
    <s v="GESTIÓN CONTRACTUAL"/>
    <s v="MARÍA OFELIA ROS MATTURRO"/>
    <n v="3422121"/>
  </r>
  <r>
    <n v="86121700"/>
    <s v="ACADÉMICA"/>
    <x v="0"/>
    <s v="FORMACIÓN"/>
    <s v="MAESTRÍA EN LITERATURA Y CULTURA"/>
    <s v="PAGO A JURADOS DE TRABAJOS DE GRADO-8"/>
    <n v="2"/>
    <n v="2"/>
    <n v="0"/>
    <n v="0"/>
    <s v="CONVENIO"/>
    <x v="0"/>
    <n v="3634104"/>
    <s v="C-3302-1603-2-0-3302067"/>
    <n v="201891000290"/>
    <x v="0"/>
    <x v="0"/>
    <s v="EJECUTAR PROGRAMAS DE POSGRADO CON REGISTRO CALIFICADO VIGENTE"/>
    <s v="NO"/>
    <n v="0"/>
    <s v="N.A"/>
    <s v="GESTIÓN CONTRACTUAL"/>
    <s v="MARÍA OFELIA ROS MATTURRO"/>
    <n v="3422121"/>
  </r>
  <r>
    <n v="86101600"/>
    <s v="ACADÉMICA"/>
    <x v="0"/>
    <s v="FORMACIÓN"/>
    <s v="MAESTRÍA EN ENSEÑANZA DE ESPAÑOL COMO LENGUA EXTRANJERA Y SEGUNDA LENGUA"/>
    <s v="DOCENTE HORA CÁTEDRA MAESTRÍA ELE/L2  32 HORAS"/>
    <n v="2"/>
    <n v="2"/>
    <n v="4"/>
    <n v="15"/>
    <s v="CONVENIO"/>
    <x v="0"/>
    <n v="6789217"/>
    <s v="C-3302-1603-2-0-3302067"/>
    <n v="201891000290"/>
    <x v="0"/>
    <x v="0"/>
    <s v="EJECUTAR PROGRAMAS DE POSGRADO CON REGISTRO CALIFICADO VIGENTE"/>
    <s v="NO"/>
    <n v="0"/>
    <s v="N.A"/>
    <s v="GESTIÓN CONTRACTUAL"/>
    <s v="MARÍA OFELIA ROS MATTURRO"/>
    <n v="3422121"/>
  </r>
  <r>
    <n v="86101600"/>
    <s v="ACADÉMICA"/>
    <x v="0"/>
    <s v="FORMACIÓN"/>
    <s v="MAESTRÍA EN ENSEÑANZA DE ESPAÑOL COMO LENGUA EXTRANJERA Y SEGUNDA LENGUA"/>
    <s v="HONORARIOS INVITADO INTERNACIONAL -DICTADO DE SEMINARIO DE 15 HR EN LA MESTRÍA HONORARIO"/>
    <n v="1"/>
    <n v="1"/>
    <n v="0"/>
    <n v="0"/>
    <s v="CONVENIO"/>
    <x v="1"/>
    <n v="3104751.5999999996"/>
    <s v="C-3302-1603-2-0-3302070"/>
    <n v="201891000290"/>
    <x v="0"/>
    <x v="1"/>
    <s v="REALIZAR ACTIVIDADES DE CONSOLIDACIÓN ACADÉMICA"/>
    <s v="NO"/>
    <n v="0"/>
    <s v="N.A"/>
    <s v="GESTIÓN CONTRACTUAL"/>
    <s v="MARÍA OFELIA ROS MATTURRO"/>
    <n v="3422121"/>
  </r>
  <r>
    <n v="80161504"/>
    <s v="ACADÉMICA"/>
    <x v="0"/>
    <s v="FORMACIÓN"/>
    <s v="FACULTAD"/>
    <s v="DIPLOMAS"/>
    <n v="1"/>
    <n v="1"/>
    <n v="10"/>
    <n v="0"/>
    <s v="CONTRATACIÓN DIRECTA"/>
    <x v="1"/>
    <n v="3000000"/>
    <s v="C-3302-1603-2-0-3302070"/>
    <n v="201891000290"/>
    <x v="0"/>
    <x v="1"/>
    <s v="REALIZAR ACTIVIDADES DE CONSOLIDACIÓN ACADÉMICA"/>
    <s v="NO"/>
    <n v="0"/>
    <s v="N.A"/>
    <s v="GESTIÓN CONTRACTUAL"/>
    <s v="MARÍA OFELIA ROS MATTURRO"/>
    <n v="3422121"/>
  </r>
  <r>
    <n v="86101600"/>
    <s v="ACADÉMICA"/>
    <x v="0"/>
    <s v="FORMACIÓN"/>
    <s v="BIENESTAR"/>
    <s v="ACTIVIDADES EN EL MARCO DEL PROGRAMA DE BIENESTAR UNIVERSITARIO DE LA FSAB (ATENCIÓN Y PREVENCIÓN EN SALUD, DEPORTES, RECREACIÓN Y CULTURA Y PROMOCIÓN SOCIOECONÓMICA)"/>
    <n v="2"/>
    <n v="2"/>
    <n v="11"/>
    <n v="0"/>
    <s v="CONTRATACIÓN DIRECTA"/>
    <x v="0"/>
    <n v="11950000"/>
    <s v="C-3302-1603-2-0-3302067"/>
    <n v="201891000290"/>
    <x v="0"/>
    <x v="0"/>
    <s v="EJECUTAR PROGRAMAS DE POSGRADO CON REGISTRO CALIFICADO VIGENTE"/>
    <s v="NO"/>
    <n v="0"/>
    <s v="N.A"/>
    <s v="GESTIÓN CONTRACTUAL"/>
    <s v="MARÍA OFELIA ROS MATTURRO"/>
    <n v="3422121"/>
  </r>
  <r>
    <n v="86101600"/>
    <s v="ACADÉMICA"/>
    <x v="0"/>
    <s v="FORMACIÓN"/>
    <s v="BIENESTAR"/>
    <s v="LECCIÓN INAUGURAL (2 SEMESTRES)"/>
    <n v="2"/>
    <n v="2"/>
    <n v="0"/>
    <n v="0"/>
    <s v="CONTRATACIÓN DIRECTA"/>
    <x v="0"/>
    <n v="1876735"/>
    <s v="C-3302-1603-2-0-3302067"/>
    <n v="201891000290"/>
    <x v="0"/>
    <x v="0"/>
    <s v="EJECUTAR PROGRAMAS DE POSGRADO CON REGISTRO CALIFICADO VIGENTE"/>
    <s v="NO"/>
    <n v="0"/>
    <s v="N.A"/>
    <s v="GESTIÓN CONTRACTUAL"/>
    <s v="MARÍA OFELIA ROS MATTURRO"/>
    <n v="3422121"/>
  </r>
  <r>
    <n v="86101600"/>
    <s v="ACADÉMICA"/>
    <x v="0"/>
    <s v="FORMACIÓN"/>
    <s v="BIENESTAR"/>
    <s v="LECCIÓN INAUGURAL (2 SEMESTRES)"/>
    <n v="1"/>
    <n v="1"/>
    <m/>
    <m/>
    <s v="CONTRATACIÓN DIRECTA"/>
    <x v="1"/>
    <n v="123265"/>
    <s v="C-3302-1603-2-0-3302067"/>
    <n v="201891000290"/>
    <x v="0"/>
    <x v="0"/>
    <s v="EJECUTAR PROGRAMAS DE POSGRADO CON REGISTRO CALIFICADO VIGENTE"/>
    <s v="NO"/>
    <n v="0"/>
    <s v="N.A"/>
    <s v="GESTIÓN CONTRACTUAL"/>
    <s v="MARÍA OFELIA ROS MATTURRO"/>
    <n v="3422121"/>
  </r>
  <r>
    <n v="80111621"/>
    <s v="ACADÉMICA"/>
    <x v="1"/>
    <s v="INVESTIGACIÓN"/>
    <s v="DOCUMENTOS PARA LA HISTORIA LINGÜÍSTICA DE COLOMBIA SIGLOS XVI- XIX SEGUNDA FASE (2021-2022) VIGENCIA 2022"/>
    <s v="CONTRATO DISEÑADOR GRÁFICO"/>
    <n v="5"/>
    <m/>
    <n v="6"/>
    <m/>
    <s v="CONTRATACIÓN DIRECTA"/>
    <x v="0"/>
    <n v="9781200"/>
    <s v="C-3302-1603-2-0-3302001"/>
    <n v="201891000290"/>
    <x v="0"/>
    <x v="2"/>
    <s v="DISEÑAR, APROBAR Y EJECUTAR LOS PROYECTOS DE INVESTIGACIÓN"/>
    <s v="NO"/>
    <n v="0"/>
    <s v="N.A"/>
    <s v="GESTIÓN CONTRACTUAL"/>
    <s v="JULIO BERNAL"/>
    <n v="3422121"/>
  </r>
  <r>
    <n v="81111902"/>
    <s v="ACADÉMICA"/>
    <x v="2"/>
    <s v="INVESTIGACIÓN"/>
    <s v="DESARROLLO DE COLECCIONES"/>
    <s v="SUSCRIPCIÓN BASES DE DATOS - RENOVACIÓN BASE DE DATOS JSTOR"/>
    <n v="1"/>
    <n v="1"/>
    <n v="11"/>
    <n v="25"/>
    <s v="CONTRATACIÓN DIRECTA"/>
    <x v="0"/>
    <n v="11025000"/>
    <s v="C-3301-1603-2-0-3301085"/>
    <n v="2018011000319"/>
    <x v="1"/>
    <x v="3"/>
    <s v="ADQUIRIR LAS HERRAMIENTAS TECNOLÓGICAS PARA GARANTIZAR EL FUNCIONAMIENTO DE LA BIBLIOTECA"/>
    <s v="NO"/>
    <n v="0"/>
    <s v="N.A"/>
    <s v="GESTIÓN CONTRACTUAL"/>
    <s v="LUZ CLEMENCIA MEJÍA MUÑOZ"/>
    <n v="3422121"/>
  </r>
  <r>
    <n v="43232609"/>
    <s v="ACADÉMICA"/>
    <x v="2"/>
    <s v="INVESTIGACIÓN"/>
    <s v="SISTEMATIZACIÓN DE LA BIBLIOTECA"/>
    <s v="MANTENIEMIENTO Y SERVICIO DE HOSTING DEL SISTEMA DE INFORMACIÓN BIBLIOGRÁFICO KOHA MEDIENTE EL CUAL SE ADMINISTRAN LAS COLECCIONES Y SERVICIO BIBIOTECARIOS EN LAS DOS SEDES."/>
    <n v="8"/>
    <n v="8"/>
    <n v="11"/>
    <n v="25"/>
    <s v="CONTRATACIÓN DIRECTA"/>
    <x v="0"/>
    <n v="15980000"/>
    <s v="C-3301-1603-2-0-3301085"/>
    <n v="2018011000319"/>
    <x v="1"/>
    <x v="3"/>
    <s v="ADQUIRIR LAS HERRAMIENTAS TECNOLÓGICAS PARA GARANTIZAR EL FUNCIONAMIENTO DE LA BIBLIOTECA"/>
    <s v="NO"/>
    <n v="0"/>
    <s v="N.A"/>
    <s v="GESTIÓN CONTRACTUAL"/>
    <s v="LUZ CLEMENCIA MEJÍA MUÑOZ"/>
    <n v="3422121"/>
  </r>
  <r>
    <n v="90121603"/>
    <s v="ACADÉMICA"/>
    <x v="3"/>
    <s v="FORMACIÓN"/>
    <s v="EDUCACIÓN CONTINUA"/>
    <s v="CONTRATACIÓN DE SERVICIOS PROFESIONALES PARA APOYAR LA FORMACIÓN VIRTUAL DEL ICC "/>
    <n v="1"/>
    <n v="1"/>
    <n v="9"/>
    <n v="15"/>
    <s v="CONTRATACIÓN DIRECTA"/>
    <x v="0"/>
    <n v="50000000"/>
    <s v="C-3302-1603-2-0-3302066"/>
    <n v="201891000290"/>
    <x v="0"/>
    <x v="4"/>
    <s v="PROGRAMAR, DISEÑAR Y OFERTAR PROGRAMAS DE EDUCACIÓN INFORMAL"/>
    <s v="NO"/>
    <n v="0"/>
    <s v="N.A"/>
    <s v="GESTIÓN CONTRACTUAL"/>
    <s v="JUAN MANUEL ESPINOSA RESTREPO"/>
    <n v="3422121"/>
  </r>
  <r>
    <n v="86101700"/>
    <s v="ACADÉMICA"/>
    <x v="3"/>
    <s v="FORMACIÓN"/>
    <s v="EDUCACIÓN CONTINUA"/>
    <s v="DOCENTE CURSO DE ESPAÑOL PARA EXTRANJEROS (420 HORAS POR 5 CURSOS) (MELE)"/>
    <n v="2"/>
    <n v="2"/>
    <n v="8"/>
    <n v="15"/>
    <s v="CONTRATACIÓN DIRECTA"/>
    <x v="0"/>
    <n v="16800000"/>
    <s v="C-3302-1603-2-0-3302066"/>
    <n v="201891000290"/>
    <x v="0"/>
    <x v="4"/>
    <s v="PROGRAMAR, DISEÑAR Y OFERTAR PROGRAMAS DE EDUCACIÓN INFORMAL"/>
    <s v="NO"/>
    <n v="0"/>
    <s v="N.A"/>
    <s v="GESTIÓN CONTRACTUAL"/>
    <s v="JUAN MANUEL ESPINOSA RESTREPO"/>
    <n v="3422121"/>
  </r>
  <r>
    <n v="86101600"/>
    <s v="ACADÉMICA"/>
    <x v="3"/>
    <s v="FORMACIÓN"/>
    <s v="EDUCACIÓN CONTINUA"/>
    <s v="DOCENTE DE DIPLOMADO ELE REMOTO+COORDINADORA DE EXTENSIÓN (DIPLOMADO ELE VIRTUAL Y DIPLOMADO ELE REMOTO) (MELE)"/>
    <n v="2"/>
    <n v="2"/>
    <n v="10"/>
    <n v="0"/>
    <s v="CONTRATACIÓN DIRECTA"/>
    <x v="0"/>
    <n v="40196775"/>
    <s v="C-3302-1603-2-0-3302066"/>
    <n v="201891000290"/>
    <x v="0"/>
    <x v="4"/>
    <s v="PROGRAMAR, DISEÑAR Y OFERTAR PROGRAMAS DE EDUCACIÓN INFORMAL"/>
    <s v="NO"/>
    <n v="0"/>
    <s v="N.A"/>
    <s v="GESTIÓN CONTRACTUAL"/>
    <s v="JUAN MANUEL ESPINOSA RESTREPO"/>
    <n v="3422121"/>
  </r>
  <r>
    <n v="86141501"/>
    <s v="ACADÉMICA"/>
    <x v="3"/>
    <s v="FORMACIÓN"/>
    <s v="EDUCACIÓN CONTINUA"/>
    <s v="COORDINACIÓN EDUCACIÓN CONTINUA TOTAL: ELE PRESENCIAL Y VIRTUAL, FSAB SUBDIRECCIÓN ACADÉMICA, CURSOS EXTENSIÓN"/>
    <n v="1"/>
    <n v="1"/>
    <n v="11"/>
    <n v="15"/>
    <s v="CONTRATACIÓN DIRECTA"/>
    <x v="0"/>
    <n v="50000000"/>
    <s v="C-3302-1603-2-0-3302066"/>
    <n v="201891000290"/>
    <x v="0"/>
    <x v="4"/>
    <s v="PROGRAMAR, DISEÑAR Y OFERTAR PROGRAMAS DE EDUCACIÓN INFORMAL"/>
    <s v="NO"/>
    <n v="0"/>
    <s v="N.A"/>
    <s v="GESTIÓN CONTRACTUAL"/>
    <s v="JUAN MANUEL ESPINOSA RESTREPO"/>
    <n v="3422121"/>
  </r>
  <r>
    <n v="86101700"/>
    <s v="ACADÉMICA"/>
    <x v="3"/>
    <s v="FORMACIÓN"/>
    <s v="EDUCACIÓN CONTINUA"/>
    <s v="PROFESOR LATÍN Y GRIEGO 5 CURSOS AL AÑO"/>
    <n v="1"/>
    <n v="1"/>
    <n v="10"/>
    <n v="0"/>
    <s v="CONTRATACIÓN DIRECTA"/>
    <x v="0"/>
    <n v="4678569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1ER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2DO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3ER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4TO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5TO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6TO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7MO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8VO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9NO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10MO TUTOR DIPLOMADO VIRTUAL ELE-2022-1: 72 HRS POR TUTOR (MELE)"/>
    <n v="4"/>
    <n v="4"/>
    <n v="4"/>
    <n v="0"/>
    <s v="CONTRATACIÓN DIRECTA"/>
    <x v="0"/>
    <n v="3240000"/>
    <s v="C-3302-1603-2-0-3302066"/>
    <n v="201891000290"/>
    <x v="0"/>
    <x v="4"/>
    <s v="PROGRAMAR, DISEÑAR Y OFERTAR PROGRAMAS DE EDUCACIÓN INFORMAL"/>
    <s v="NO"/>
    <n v="0"/>
    <s v="N.A"/>
    <s v="GESTIÓN CONTRACTUAL"/>
    <s v="JUAN MANUEL ESPINOSA RESTREPO"/>
    <n v="3422121"/>
  </r>
  <r>
    <n v="86101600"/>
    <s v="ACADÉMICA"/>
    <x v="3"/>
    <s v="FORMACIÓN"/>
    <s v="EDUCACIÓN CONTINUA"/>
    <s v="PROFESOR DIPLOMADO ELE REMOTO 60 HRS (POR 30 HRS EN CADA SEMESTRE) (MELE)"/>
    <n v="2"/>
    <n v="2"/>
    <n v="4"/>
    <n v="0"/>
    <s v="CONTRATACIÓN DIRECTA"/>
    <x v="0"/>
    <n v="3230760"/>
    <s v="C-3302-1603-2-0-3302066"/>
    <n v="201891000290"/>
    <x v="0"/>
    <x v="4"/>
    <s v="PROGRAMAR, DISEÑAR Y OFERTAR PROGRAMAS DE EDUCACIÓN INFORMAL"/>
    <s v="NO"/>
    <n v="0"/>
    <s v="N.A"/>
    <s v="GESTIÓN CONTRACTUAL"/>
    <s v="JUAN MANUEL ESPINOSA RESTREPO"/>
    <n v="3422121"/>
  </r>
  <r>
    <n v="86101601"/>
    <s v="ACADÉMICA"/>
    <x v="3"/>
    <s v="FORMACIÓN"/>
    <s v="EDUCACIÓN CONTINUA"/>
    <s v="PROFESOR DIPLOMADO ELE REMOTO 60 HRS (POR 30 HRS EN CADA SEMESTRE) (MELE)"/>
    <n v="2"/>
    <n v="2"/>
    <n v="4"/>
    <n v="0"/>
    <s v="CONTRATACIÓN DIRECTA"/>
    <x v="0"/>
    <n v="646152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1ER TUTOR DIPLOMADO VIRTUAL ESCRITURA PARA SORDOS ELE-2022-1 - 30 HRS (MELE)"/>
    <n v="1"/>
    <n v="8"/>
    <n v="4"/>
    <n v="0"/>
    <s v="CONTRATACIÓN DIRECTA"/>
    <x v="0"/>
    <n v="135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2DO TUTOR DIPLOMADO VIRTUAL ESCRITURA PARA SORDOS ELE-2022-1 - 36 HRS (MELE)"/>
    <n v="1"/>
    <n v="8"/>
    <n v="4"/>
    <n v="0"/>
    <s v="CONTRATACIÓN DIRECTA"/>
    <x v="0"/>
    <n v="1620000"/>
    <s v="C-3302-1603-2-0-3302066"/>
    <n v="201891000290"/>
    <x v="0"/>
    <x v="4"/>
    <s v="PROGRAMAR, DISEÑAR Y OFERTAR PROGRAMAS DE EDUCACIÓN INFORMAL"/>
    <s v="NO"/>
    <n v="0"/>
    <s v="N.A"/>
    <s v="GESTIÓN CONTRACTUAL"/>
    <s v="JUAN MANUEL ESPINOSA RESTREPO"/>
    <n v="3422121"/>
  </r>
  <r>
    <n v="86101600"/>
    <s v="ACADÉMICA"/>
    <x v="3"/>
    <s v="FORMACIÓN"/>
    <s v="EDUCACIÓN CONTINUA"/>
    <s v="PAGO 2DO TUTOR DIPLOMADO VIRTUAL ESCRITURA PARA SORDOS ELE-2022-1 - 36 HRS (MELE)"/>
    <n v="1"/>
    <n v="8"/>
    <n v="4"/>
    <n v="0"/>
    <s v="CONTRATACIÓN DIRECTA"/>
    <x v="0"/>
    <n v="2240723"/>
    <s v="C-3302-1603-2-0-3302066"/>
    <n v="201891000290"/>
    <x v="0"/>
    <x v="4"/>
    <s v="PROGRAMAR, DISEÑAR Y OFERTAR PROGRAMAS DE EDUCACIÓN INFORMAL"/>
    <s v="NO"/>
    <n v="0"/>
    <s v="N.A"/>
    <s v="GESTIÓN CONTRACTUAL"/>
    <s v="JUAN MANUEL ESPINOSA RESTREPO"/>
    <n v="3422121"/>
  </r>
  <r>
    <n v="0"/>
    <s v="ADMINISTRATIVA Y FINANCIERA"/>
    <x v="4"/>
    <s v="GESTIÓN TALENTO HUMANO"/>
    <s v="PLAN ESTRATEGICO DE TALENTO HUMANO"/>
    <s v="GASTOS EN ARL DE PRACTICANTES"/>
    <n v="1"/>
    <n v="1"/>
    <n v="11"/>
    <n v="0"/>
    <s v="CONTRATACIÓN DIRECTA"/>
    <x v="0"/>
    <n v="584539.26"/>
    <s v="C-3302-1603-2-0-3302067"/>
    <n v="201891000290"/>
    <x v="0"/>
    <x v="0"/>
    <s v="EJECUTAR PROGRAMAS DE POSGRADO CON REGISTRO CALIFICADO VIGENTE"/>
    <s v="NO"/>
    <n v="0"/>
    <s v="N.A"/>
    <s v="GESTIÓN CONTRACTUAL"/>
    <s v="LILIANA JEANNETTE MONTOYA TALERO"/>
    <n v="3422121"/>
  </r>
  <r>
    <s v="55101500; 55101524"/>
    <s v="ACADÉMICA"/>
    <x v="2"/>
    <s v="INVESTIGACIÓN"/>
    <s v="DESARROLLO DE COLECCIONES"/>
    <s v="ADQUISICIÓN DE LIBROS"/>
    <n v="4"/>
    <n v="3"/>
    <n v="3"/>
    <n v="25"/>
    <s v="SELECCIÓN ABREVIADA MENOR CUANTÍA"/>
    <x v="0"/>
    <n v="25693446"/>
    <s v="C-3302-1603-2-0-3302070"/>
    <n v="201891000290"/>
    <x v="0"/>
    <x v="1"/>
    <s v="REALIZAR ACTIVIDADES DE CONSOLIDACIÓN ACADÉMICA"/>
    <s v="NO"/>
    <n v="0"/>
    <s v="N.A"/>
    <s v="GESTIÓN CONTRACTUAL"/>
    <s v="LUZ CLEMENCIA MEJÍA MUÑOZ"/>
    <n v="3422121"/>
  </r>
  <r>
    <s v="55101500; 55101525"/>
    <s v="ACADÉMICA"/>
    <x v="2"/>
    <s v="INVESTIGACIÓN"/>
    <s v="DESARROLLO DE COLECCIONES"/>
    <s v="ADQUISICIÓN DE LIBROS"/>
    <n v="4"/>
    <n v="3"/>
    <n v="3"/>
    <n v="25"/>
    <s v="SELECCIÓN ABREVIADA MENOR CUANTÍA"/>
    <x v="0"/>
    <n v="4306554"/>
    <s v="C-3301-1603-2-0-3301085"/>
    <n v="2018011000319"/>
    <x v="1"/>
    <x v="3"/>
    <s v="ADQUIRIR LAS HERRAMIENTAS TECNOLÓGICAS PARA GARANTIZAR EL FUNCIONAMIENTO DE LA BIBLIOTECA"/>
    <s v="NO"/>
    <n v="0"/>
    <s v="N.A"/>
    <s v="GESTIÓN CONTRACTUAL"/>
    <s v="LUZ CLEMENCIA MEJÍA MUÑOZ"/>
    <n v="3422121"/>
  </r>
  <r>
    <s v="55101500; 55101524"/>
    <s v="ACADÉMICA"/>
    <x v="2"/>
    <s v="INVESTIGACIÓN"/>
    <s v="DESARROLLO DE COLECCIONES"/>
    <s v="SUSCRIPCIÓN REVISTAS - RENOVACIÓN POR 1 AÑO DE LOS  TÍTULOS DE REVISTAS  ACADÉMICAS EN LAS ARES DE LINGÜÍSTICA,  LITERATURA Y ESTUDIOS EDITORIALES"/>
    <n v="1"/>
    <n v="1"/>
    <n v="11"/>
    <n v="25"/>
    <s v="MINIMA CUANTÍA"/>
    <x v="1"/>
    <n v="26365813"/>
    <s v="C-3301-1603-2-0-3301085"/>
    <n v="2018011000319"/>
    <x v="1"/>
    <x v="3"/>
    <s v="ADQUIRIR LAS HERRAMIENTAS TECNOLÓGICAS PARA GARANTIZAR EL FUNCIONAMIENTO DE LA BIBLIOTECA"/>
    <s v="NO"/>
    <n v="0"/>
    <s v="N.A"/>
    <s v="GESTIÓN CONTRACTUAL"/>
    <s v="LUZ CLEMENCIA MEJÍA MUÑOZ"/>
    <n v="3422121"/>
  </r>
  <r>
    <s v="55101500; 55101524"/>
    <s v="ACADÉMICA"/>
    <x v="2"/>
    <s v="INVESTIGACIÓN"/>
    <s v="DESARROLLO DE COLECCIONES"/>
    <s v="SUSCRIPCIÓN REVISTAS - RENOVACIÓN POR 1 AÑO DE LOS  TÍTULOS DE REVISTAS  ACADÉMICAS EN LAS ARES DE LINGÜÍSTICA,  LITERATURA Y ESTUDIOS EDITORIALES"/>
    <n v="1"/>
    <n v="1"/>
    <n v="11"/>
    <n v="25"/>
    <s v="MINIMA CUANTÍA"/>
    <x v="0"/>
    <n v="634187"/>
    <s v="C-3301-1603-2-0-3301085"/>
    <n v="2018011000319"/>
    <x v="1"/>
    <x v="3"/>
    <s v="ADQUIRIR LAS HERRAMIENTAS TECNOLÓGICAS PARA GARANTIZAR EL FUNCIONAMIENTO DE LA BIBLIOTECA"/>
    <s v="NO"/>
    <n v="0"/>
    <s v="N.A"/>
    <s v="GESTIÓN CONTRACTUAL"/>
    <s v="LUZ CLEMENCIA MEJÍA MUÑOZ"/>
    <n v="3422121"/>
  </r>
  <r>
    <n v="81111902"/>
    <s v="ACADÉMICA"/>
    <x v="2"/>
    <s v="INVESTIGACIÓN"/>
    <s v="DESARROLLO DE COLECCIONES"/>
    <s v="SUSCRIPCIÓN BASES DE DATOS - RENOVACIÓN BASE DE DATOS PROQUEST MÓDULOS DE LINGUSTICA Y LITERATURA"/>
    <n v="3"/>
    <n v="3"/>
    <n v="11"/>
    <n v="25"/>
    <s v="CONTRATACIÓN DIRECTA"/>
    <x v="0"/>
    <n v="34260574"/>
    <s v="C-3301-1603-2-0-3301085"/>
    <n v="2018011000319"/>
    <x v="1"/>
    <x v="3"/>
    <s v="ADQUIRIR LAS HERRAMIENTAS TECNOLÓGICAS PARA GARANTIZAR EL FUNCIONAMIENTO DE LA BIBLIOTECA"/>
    <s v="NO"/>
    <n v="0"/>
    <s v="N.A"/>
    <s v="GESTIÓN CONTRACTUAL"/>
    <s v="LUZ CLEMENCIA MEJÍA MUÑOZ"/>
    <n v="3422121"/>
  </r>
  <r>
    <n v="81111902"/>
    <s v="ACADÉMICA"/>
    <x v="2"/>
    <s v="INVESTIGACIÓN"/>
    <s v="DESARROLLO DE COLECCIONES"/>
    <s v="RENOVACIÓN BASE DE DATOS - DIALNET PLUS"/>
    <n v="8"/>
    <n v="8"/>
    <n v="11"/>
    <n v="25"/>
    <s v="CONTRATACIÓN DIRECTA"/>
    <x v="1"/>
    <n v="14619696"/>
    <s v="C-3301-1603-2-0-3301085"/>
    <n v="2018011000319"/>
    <x v="1"/>
    <x v="3"/>
    <s v="ADQUIRIR LAS HERRAMIENTAS TECNOLÓGICAS PARA GARANTIZAR EL FUNCIONAMIENTO DE LA BIBLIOTECA"/>
    <s v="NO"/>
    <n v="0"/>
    <s v="N.A"/>
    <s v="GESTIÓN CONTRACTUAL"/>
    <s v="LUZ CLEMENCIA MEJÍA MUÑOZ"/>
    <n v="3422121"/>
  </r>
  <r>
    <n v="81111902"/>
    <s v="ACADÉMICA"/>
    <x v="2"/>
    <s v="INVESTIGACIÓN"/>
    <s v="DESARROLLO DE COLECCIONES"/>
    <s v="SUSCRIPCIÓN BASES DE DATOS - RENOVACIÓN BASE DE DATOS MLA CON TEXTO COMPLETO"/>
    <n v="3"/>
    <n v="3"/>
    <n v="11"/>
    <n v="25"/>
    <s v="CONTRATACIÓN DIRECTA"/>
    <x v="1"/>
    <n v="15380304"/>
    <s v="C-3301-1603-2-0-3301085"/>
    <n v="2018011000319"/>
    <x v="1"/>
    <x v="3"/>
    <s v="ADQUIRIR LAS HERRAMIENTAS TECNOLÓGICAS PARA GARANTIZAR EL FUNCIONAMIENTO DE LA BIBLIOTECA"/>
    <s v="NO"/>
    <n v="0"/>
    <s v="N.A"/>
    <s v="GESTIÓN CONTRACTUAL"/>
    <s v="LUZ CLEMENCIA MEJÍA MUÑOZ"/>
    <n v="3422121"/>
  </r>
  <r>
    <n v="81111902"/>
    <s v="ACADÉMICA"/>
    <x v="2"/>
    <s v="INVESTIGACIÓN"/>
    <s v="DESARROLLO DE COLECCIONES"/>
    <s v="SUSCRIPCIÓN BASES DE DATOS - RENOVACIÓN BASE DE DATOS MLA CON TEXTO COMPLETO"/>
    <m/>
    <m/>
    <m/>
    <m/>
    <s v="CONTRATACIÓN DIRECTA"/>
    <x v="0"/>
    <n v="3923956"/>
    <s v="C-3301-1603-2-0-3301085"/>
    <n v="2018011000319"/>
    <x v="1"/>
    <x v="3"/>
    <s v="ADQUIRIR LAS HERRAMIENTAS TECNOLÓGICAS PARA GARANTIZAR EL FUNCIONAMIENTO DE LA BIBLIOTECA"/>
    <s v="NO"/>
    <n v="0"/>
    <s v="N.A"/>
    <s v="GESTIÓN CONTRACTUAL"/>
    <s v="LUZ CLEMENCIA MEJÍA MUÑOZ"/>
    <n v="3422121"/>
  </r>
  <r>
    <n v="81111902"/>
    <s v="ACADÉMICA"/>
    <x v="2"/>
    <s v="INVESTIGACIÓN"/>
    <s v="PROCESAMIENTO TÉCNICO DEL MATERIAL BIBLIOGRÁFICO"/>
    <s v="RENOVACIÓN DE LA HERRAMIENTA BIBLIOTECARIA ARMARC Y TOOL KIT RDA PARA LA ASIGNACIÓN DE LOS DESCRIPTORES  Y CATALOGACIÓN DEL  MATERIAL BIBLIOGRAFICO RECIBIDO EN LA BIBLIOTECA."/>
    <n v="9"/>
    <n v="9"/>
    <n v="11"/>
    <n v="25"/>
    <s v="CONTRATACIÓN DIRECTA"/>
    <x v="0"/>
    <n v="2429400"/>
    <s v="C-3301-1603-2-0-3301085"/>
    <n v="2018011000319"/>
    <x v="1"/>
    <x v="3"/>
    <s v="ADQUIRIR LAS HERRAMIENTAS TECNOLÓGICAS PARA GARANTIZAR EL FUNCIONAMIENTO DE LA BIBLIOTECA"/>
    <s v="NO"/>
    <n v="0"/>
    <s v="N.A"/>
    <s v="GESTIÓN CONTRACTUAL"/>
    <s v="LUZ CLEMENCIA MEJÍA MUÑOZ"/>
    <n v="3422121"/>
  </r>
  <r>
    <s v="43233203; 43232305; 43232309"/>
    <s v="ACADÉMICA"/>
    <x v="2"/>
    <s v="INVESTIGACIÓN"/>
    <s v="SISTEMATIZACIÓN DE LA BIBLIOTECA"/>
    <s v="RENOVACIÓN DE LA LICENCIA DEL PROGRAMA EZ-PROXY PARA LA CONSULTA REMOTA DE LOS RECURSOS ELECTRÓNICOS  Y  LOOKPROXY PARA GENERACIÓN DE LAS ESTADÍSTICA DE USO DE LOS RECURSOS ELECTRÓNICOS"/>
    <n v="9"/>
    <n v="9"/>
    <n v="11"/>
    <n v="25"/>
    <s v="CONTRATACIÓN DIRECTA"/>
    <x v="0"/>
    <n v="13500000"/>
    <s v="C-3301-1603-2-0-3301085"/>
    <n v="2018011000319"/>
    <x v="1"/>
    <x v="3"/>
    <s v="ADQUIRIR LAS HERRAMIENTAS TECNOLÓGICAS PARA GARANTIZAR EL FUNCIONAMIENTO DE LA BIBLIOTECA"/>
    <s v="NO"/>
    <n v="0"/>
    <s v="N.A"/>
    <s v="GESTIÓN CONTRACTUAL"/>
    <s v="LUZ CLEMENCIA MEJÍA MUÑOZ"/>
    <n v="3422121"/>
  </r>
  <r>
    <n v="82121500"/>
    <s v="ACADÉMICA"/>
    <x v="5"/>
    <s v="INFORMACIÓN Y COMUNICACIÓN"/>
    <s v="COMUNICACIONES Y PRENSA "/>
    <s v="IMPRESIÓN DE MATERIAL DE DIVULGACIÓN PARA APOYO A LOS PROGRAMAS Y PROYECTOS DE LA SUBDIRECCIÓN ACADÉMICA "/>
    <n v="2"/>
    <n v="2"/>
    <n v="10"/>
    <n v="0"/>
    <s v="MINIMA CUANTÍA"/>
    <x v="1"/>
    <n v="2500000"/>
    <s v="C-3302-1603-2-0-3302070"/>
    <n v="201891000290"/>
    <x v="0"/>
    <x v="1"/>
    <s v="REALIZAR ACTIVIDADES DE CONSOLIDACIÓN ACADÉMICA"/>
    <s v="NO"/>
    <n v="0"/>
    <s v="N.A"/>
    <s v="GESTIÓN CONTRACTUAL"/>
    <s v="JUAN MANUEL ESPINOSA RESTREPO"/>
    <n v="3422121"/>
  </r>
  <r>
    <n v="82121500"/>
    <s v="ACADÉMICA"/>
    <x v="5"/>
    <s v="INFORMACIÓN Y COMUNICACIÓN"/>
    <s v="COMUNICACIONES Y PRENSA "/>
    <s v="SERVICIO DE CORREOS PARA EL MANEJO DE LAS BASES DE DATOS DE BOLETÍN Y EVENTOS DEL ICC"/>
    <n v="1"/>
    <n v="1"/>
    <n v="11"/>
    <n v="0"/>
    <s v="MINIMA CUANTÍA"/>
    <x v="1"/>
    <n v="2800000"/>
    <s v="C-3302-1603-2-0-3302070"/>
    <n v="201891000290"/>
    <x v="0"/>
    <x v="1"/>
    <s v="REALIZAR ACTIVIDADES DE CONSOLIDACIÓN ACADÉMICA"/>
    <s v="NO"/>
    <n v="0"/>
    <s v="N.A"/>
    <s v="GESTIÓN CONTRACTUAL"/>
    <s v="JUAN MANUEL ESPINOSA RESTREPO"/>
    <n v="3422121"/>
  </r>
  <r>
    <n v="82121501"/>
    <s v="ACADÉMICA"/>
    <x v="5"/>
    <s v="INFORMACIÓN Y COMUNICACIÓN"/>
    <s v="COMUNICACIONES Y PRENSA "/>
    <s v="PAGO DE FLICKR ANUAL"/>
    <n v="3"/>
    <n v="3"/>
    <n v="9"/>
    <n v="0"/>
    <s v="MINIMA CUANTÍA"/>
    <x v="1"/>
    <n v="700000"/>
    <s v="C-3302-1603-2-0-3302070"/>
    <n v="201891000290"/>
    <x v="0"/>
    <x v="1"/>
    <s v="REALIZAR ACTIVIDADES DE CONSOLIDACIÓN ACADÉMICA"/>
    <s v="NO"/>
    <n v="0"/>
    <s v="N.A"/>
    <s v="GESTIÓN CONTRACTUAL"/>
    <s v="JUAN MANUEL ESPINOSA RESTREPO"/>
    <n v="3422121"/>
  </r>
  <r>
    <n v="82121500"/>
    <s v="ACADÉMICA"/>
    <x v="5"/>
    <s v="INFORMACIÓN Y COMUNICACIÓN"/>
    <s v="COMUNICACIONES Y PRENSA "/>
    <s v="PAGO DE ZOOM PRO"/>
    <n v="3"/>
    <n v="3"/>
    <n v="9"/>
    <n v="0"/>
    <s v="MINIMA CUANTÍA"/>
    <x v="1"/>
    <n v="800000"/>
    <s v="C-3302-1603-2-0-3302070"/>
    <n v="201891000290"/>
    <x v="0"/>
    <x v="1"/>
    <s v="REALIZAR ACTIVIDADES DE CONSOLIDACIÓN ACADÉMICA"/>
    <s v="NO"/>
    <n v="0"/>
    <s v="N.A"/>
    <s v="GESTIÓN CONTRACTUAL"/>
    <s v="JUAN MANUEL ESPINOSA RESTREPO"/>
    <n v="3422121"/>
  </r>
  <r>
    <n v="82121500"/>
    <s v="ACADÉMICA"/>
    <x v="5"/>
    <s v="INFORMACIÓN Y COMUNICACIÓN"/>
    <s v="COMUNICACIONES Y PRENSA "/>
    <s v="PAGO DERECHOS DE AUTOR SAYCO"/>
    <n v="1"/>
    <n v="1"/>
    <n v="11"/>
    <n v="0"/>
    <s v="MINIMA CUANTÍA"/>
    <x v="1"/>
    <n v="3700000"/>
    <s v="C-3302-1603-2-0-3302070"/>
    <n v="201891000290"/>
    <x v="0"/>
    <x v="1"/>
    <s v="REALIZAR ACTIVIDADES DE CONSOLIDACIÓN ACADÉMICA"/>
    <s v="NO"/>
    <n v="0"/>
    <s v="N.A"/>
    <s v="GESTIÓN CONTRACTUAL"/>
    <s v="JUAN MANUEL ESPINOSA RESTREPO"/>
    <n v="3422121"/>
  </r>
  <r>
    <n v="82121500"/>
    <s v="ACADÉMICA"/>
    <x v="5"/>
    <s v="INFORMACIÓN Y COMUNICACIÓN"/>
    <s v="COMUNICACIONES Y PRENSA "/>
    <s v="PAGO SERVIDOR EMISORA RADIO.CO"/>
    <n v="1"/>
    <n v="1"/>
    <n v="11"/>
    <n v="0"/>
    <s v="MINIMA CUANTÍA"/>
    <x v="1"/>
    <n v="3000000"/>
    <s v="C-3302-1603-2-0-3302070"/>
    <n v="201891000290"/>
    <x v="0"/>
    <x v="1"/>
    <s v="REALIZAR ACTIVIDADES DE CONSOLIDACIÓN ACADÉMICA"/>
    <s v="NO"/>
    <n v="0"/>
    <s v="N.A"/>
    <s v="GESTIÓN CONTRACTUAL"/>
    <s v="JUAN MANUEL ESPINOSA RESTREPO"/>
    <n v="3422121"/>
  </r>
  <r>
    <n v="82121500"/>
    <s v="ACADÉMICA"/>
    <x v="5"/>
    <s v="INFORMACIÓN Y COMUNICACIÓN"/>
    <s v="COMUNICACIONES Y PRENSA "/>
    <s v="PAGO MEMBRESÍA RRUC"/>
    <n v="1"/>
    <n v="1"/>
    <n v="11"/>
    <n v="0"/>
    <s v="MINIMA CUANTÍA"/>
    <x v="1"/>
    <n v="193044"/>
    <s v="C-3302-1603-2-0-3302068"/>
    <n v="201891000290"/>
    <x v="0"/>
    <x v="5"/>
    <s v="DISEÑAR, MONTAR, EDITAR, GRABAR Y PRODUCIR LA PROGRAMACIÓN"/>
    <s v="NO"/>
    <n v="0"/>
    <s v="N.A"/>
    <s v="GESTIÓN CONTRACTUAL"/>
    <s v="JUAN MANUEL ESPINOSA RESTREPO"/>
    <n v="3422121"/>
  </r>
  <r>
    <n v="82121500"/>
    <s v="ACADÉMICA"/>
    <x v="5"/>
    <s v="INFORMACIÓN Y COMUNICACIÓN"/>
    <s v="COMUNICACIONES Y PRENSA "/>
    <s v="PAGO MEMBRESÍA RRUC"/>
    <n v="1"/>
    <n v="1"/>
    <n v="11"/>
    <n v="0"/>
    <s v="MINIMA CUANTÍA"/>
    <x v="1"/>
    <n v="106956"/>
    <s v="C-3302-1603-2-0-3302070"/>
    <n v="201891000290"/>
    <x v="0"/>
    <x v="1"/>
    <s v="REALIZAR ACTIVIDADES DE CONSOLIDACIÓN ACADÉMICA"/>
    <s v="NO"/>
    <n v="0"/>
    <s v="N.A"/>
    <s v="GESTIÓN CONTRACTUAL"/>
    <s v="JUAN MANUEL ESPINOSA RESTREPO"/>
    <n v="3422121"/>
  </r>
  <r>
    <n v="78141500"/>
    <s v="ACADÉMICA"/>
    <x v="5"/>
    <s v="INFORMACIÓN Y COMUNICACIÓN"/>
    <s v="COMUNICACIONES Y PRENSA "/>
    <s v="TIQUETE PARTICIPACIÓN HAY FESTIVAL 2022"/>
    <n v="1"/>
    <n v="1"/>
    <n v="1"/>
    <n v="0"/>
    <s v="CONTRATACIÓN DIRECTA"/>
    <x v="1"/>
    <n v="700000"/>
    <s v="C-3302-1603-2-0-3302070"/>
    <n v="201891000290"/>
    <x v="0"/>
    <x v="1"/>
    <s v="REALIZAR ACTIVIDADES DE CONSOLIDACIÓN ACADÉMICA"/>
    <s v="NO"/>
    <n v="0"/>
    <s v="N.A"/>
    <s v="GESTIÓN CONTRACTUAL"/>
    <s v="JUAN MANUEL ESPINOSA RESTREPO"/>
    <n v="3422121"/>
  </r>
  <r>
    <n v="78141500"/>
    <s v="ACADÉMICA"/>
    <x v="5"/>
    <s v="INFORMACIÓN Y COMUNICACIÓN"/>
    <s v="COMUNICACIONES Y PRENSA "/>
    <s v="GASTOS DE VIAJE PARTICIPACIÓN HAY FESTVAL 2022"/>
    <n v="1"/>
    <n v="1"/>
    <n v="1"/>
    <n v="0"/>
    <s v="CONTRATACIÓN DIRECTA"/>
    <x v="1"/>
    <n v="500000"/>
    <s v="C-3302-1603-2-0-3302070"/>
    <n v="201891000290"/>
    <x v="0"/>
    <x v="1"/>
    <s v="REALIZAR ACTIVIDADES DE CONSOLIDACIÓN ACADÉMICA"/>
    <s v="NO"/>
    <n v="0"/>
    <s v="N.A"/>
    <s v="GESTIÓN CONTRACTUAL"/>
    <s v="JUAN MANUEL ESPINOSA RESTREPO"/>
    <n v="3422121"/>
  </r>
  <r>
    <n v="81101707"/>
    <s v="ACADÉMICA"/>
    <x v="6"/>
    <s v="APROPIACIÓN SOCIAL DEL CONOCIMIENTO"/>
    <s v="SELLO EDITORIAL E IMPRENTA PATRIÓTICA"/>
    <s v="MANTENIMIENTO CORRECTIVO DE IMPRESORA SAKURAI DE DOS TORRES, 1/2 PLIEGO"/>
    <n v="3"/>
    <n v="3"/>
    <n v="2"/>
    <n v="15"/>
    <s v="MINIMA CUANTÍA"/>
    <x v="0"/>
    <n v="22000000"/>
    <s v="C-3302-1603-2-0-3302070"/>
    <n v="201891000290"/>
    <x v="0"/>
    <x v="1"/>
    <s v="REALIZAR ACTIVIDADES DE CONSOLIDACIÓN ACADÉMICA"/>
    <s v="NO"/>
    <n v="0"/>
    <s v="N.A"/>
    <s v="GESTIÓN CONTRACTUAL"/>
    <s v="CESAR BUITRAGO"/>
    <n v="3422121"/>
  </r>
  <r>
    <n v="80131505"/>
    <s v="ACADÉMICA"/>
    <x v="6"/>
    <s v="APROPIACIÓN SOCIAL DEL CONOCIMIENTO"/>
    <s v="SELLO EDITORIAL E IMPRENTA PATRIÓTICA"/>
    <s v="PAGO DE ISBN"/>
    <n v="2"/>
    <n v="2"/>
    <n v="10"/>
    <n v="0"/>
    <s v="CONTRATACIÓN DIRECTA"/>
    <x v="1"/>
    <n v="1500000"/>
    <s v="C-3302-1603-2-0-3302070"/>
    <n v="201891000290"/>
    <x v="0"/>
    <x v="1"/>
    <s v="REALIZAR ACTIVIDADES DE CONSOLIDACIÓN ACADÉMICA"/>
    <s v="NO"/>
    <n v="0"/>
    <s v="N.A"/>
    <s v="GESTIÓN CONTRACTUAL"/>
    <s v="JUAN MANUEL ESPINOSA RESTREPO"/>
    <n v="3422121"/>
  </r>
  <r>
    <n v="80131505"/>
    <s v="ACADÉMICA"/>
    <x v="6"/>
    <s v="APROPIACIÓN SOCIAL DEL CONOCIMIENTO"/>
    <s v="EDITORIAL"/>
    <s v="ARRENDAMIENTO DE ESPACIO PARA LA FERIA INTERNACIONAL DEL LIBRO DE BOGOTÁ"/>
    <n v="3"/>
    <n v="3"/>
    <n v="2"/>
    <n v="0"/>
    <s v="CONTRATACIÓN DIRECTA"/>
    <x v="0"/>
    <n v="18000000"/>
    <s v="C-3302-1603-2-0-3302070"/>
    <n v="201891000290"/>
    <x v="0"/>
    <x v="1"/>
    <s v="REALIZAR ACTIVIDADES DE CONSOLIDACIÓN ACADÉMICA"/>
    <s v="NO"/>
    <n v="0"/>
    <s v="N.A"/>
    <s v="GESTIÓN CONTRACTUAL"/>
    <s v="CESAR BUITRAGO"/>
    <n v="3422121"/>
  </r>
  <r>
    <n v="0"/>
    <s v="ACADÉMICA"/>
    <x v="6"/>
    <s v="APROPIACIÓN SOCIAL DEL CONOCIMIENTO"/>
    <s v="EDITORIAL"/>
    <s v="PAGO DE MEMBRESÍA ASEUC"/>
    <n v="5"/>
    <n v="5"/>
    <n v="1"/>
    <n v="0"/>
    <s v="CONTRATACIÓN DIRECTA"/>
    <x v="1"/>
    <n v="5000000"/>
    <s v="C-3302-1603-2-0-3302070"/>
    <n v="201891000290"/>
    <x v="0"/>
    <x v="1"/>
    <s v="REALIZAR ACTIVIDADES DE CONSOLIDACIÓN ACADÉMICA"/>
    <s v="NO"/>
    <n v="0"/>
    <s v="N.A"/>
    <s v="GESTIÓN CONTRACTUAL"/>
    <s v="JUAN MANUEL ESPINOSA RESTREPO"/>
    <n v="3422121"/>
  </r>
  <r>
    <n v="82111800"/>
    <s v="ACADÉMICA"/>
    <x v="6"/>
    <s v="APROPIACIÓN SOCIAL DEL CONOCIMIENTO"/>
    <s v="EDITORIAL"/>
    <s v="PAGO EVALUACIÓN DE MANUSCRITOS"/>
    <n v="3"/>
    <n v="3"/>
    <n v="8"/>
    <n v="0"/>
    <s v="CONTRATACIÓN DIRECTA"/>
    <x v="1"/>
    <n v="1500000"/>
    <s v="C-3302-1603-2-0-3302070"/>
    <n v="201891000290"/>
    <x v="0"/>
    <x v="1"/>
    <s v="REALIZAR ACTIVIDADES DE CONSOLIDACIÓN ACADÉMICA"/>
    <s v="NO"/>
    <n v="0"/>
    <s v="N.A"/>
    <s v="GESTIÓN CONTRACTUAL"/>
    <s v="JUAN MANUEL ESPINOSA RESTREPO"/>
    <n v="3422121"/>
  </r>
  <r>
    <n v="82111800"/>
    <s v="ACADÉMICA"/>
    <x v="6"/>
    <s v="APROPIACIÓN SOCIAL DEL CONOCIMIENTO"/>
    <s v="EDITORIAL"/>
    <s v="CONTRATO AUXILIAR LINOTIPISTA JUNIOR PARA PROYECTOS EDITORIALES"/>
    <n v="1"/>
    <n v="1"/>
    <n v="3"/>
    <n v="0"/>
    <s v="CONTRATACIÓN DIRECTA"/>
    <x v="0"/>
    <n v="6600000"/>
    <s v="C-3302-1603-2-0-3302070"/>
    <n v="201891000290"/>
    <x v="0"/>
    <x v="1"/>
    <s v="REALIZAR ACTIVIDADES DE CONSOLIDACIÓN ACADÉMICA"/>
    <s v="NO"/>
    <n v="0"/>
    <s v="N.A"/>
    <s v="GESTIÓN CONTRACTUAL"/>
    <s v="CESAR BUITRAGO"/>
    <n v="3422121"/>
  </r>
  <r>
    <n v="93141708"/>
    <s v="ACADÉMICA"/>
    <x v="7"/>
    <s v="APROPIACIÓN SOCIAL DEL CONOCIMIENTO"/>
    <s v="GESTIÓN DE MUSEOS"/>
    <s v="CONSERVACIÓN PREVENTIVA ESCULTURAS"/>
    <n v="4"/>
    <n v="4"/>
    <n v="1"/>
    <n v="0"/>
    <s v="CONTRATACIÓN DIRECTA"/>
    <x v="1"/>
    <n v="3693867"/>
    <s v="C-3399-1603-4-0-3399016-2"/>
    <n v="2018011000284"/>
    <x v="2"/>
    <x v="6"/>
    <s v=" REALIZAR MANTENIMIENTO A ELEMENTOS NO ESTRUCTURALES DE LAS SEDES "/>
    <s v="NO"/>
    <n v="0"/>
    <s v="N.A"/>
    <s v="GESTIÓN CONTRACTUAL"/>
    <s v="JUAN MANUEL ESPINOSA RESTREPO"/>
    <n v="3422121"/>
  </r>
  <r>
    <n v="93141708"/>
    <s v="ACADÉMICA"/>
    <x v="7"/>
    <s v="APROPIACIÓN SOCIAL DEL CONOCIMIENTO"/>
    <s v="GESTIÓN DE MUSEOS"/>
    <s v="HERRAMIENTAS DIGITALES "/>
    <n v="9"/>
    <n v="9"/>
    <n v="1"/>
    <n v="0"/>
    <s v="CONTRATACIÓN DIRECTA"/>
    <x v="1"/>
    <n v="1290040"/>
    <s v="C-3302-1603-2-0-3302004"/>
    <n v="201891000290"/>
    <x v="0"/>
    <x v="7"/>
    <s v="DISEÑAR, PREPARAR Y REALIZAR EXPOSICIONES EN SALAS MUSEALES"/>
    <s v="NO"/>
    <n v="0"/>
    <s v="N.A"/>
    <s v="GESTIÓN CONTRACTUAL"/>
    <s v="JUAN MANUEL ESPINOSA RESTREPO"/>
    <n v="3422121"/>
  </r>
  <r>
    <n v="86101600"/>
    <s v="ACADÉMICA"/>
    <x v="7"/>
    <s v="APROPIACIÓN SOCIAL DEL CONOCIMIENTO"/>
    <s v="GESTIÓN DE MUSEOS"/>
    <s v="IMPRESOS, MATERIAL PEDAGÓGICO, MONTAJES, FOTOGRAFÍAS, ENTRE OTROS"/>
    <n v="7"/>
    <n v="7"/>
    <n v="3"/>
    <n v="0"/>
    <s v="CONTRATACIÓN DIRECTA"/>
    <x v="0"/>
    <n v="6000000"/>
    <s v="C-3302-1603-2-0-3302070"/>
    <n v="201891000290"/>
    <x v="0"/>
    <x v="1"/>
    <s v="REALIZAR ACTIVIDADES DE CONSOLIDACIÓN ACADÉMICA"/>
    <s v="NO"/>
    <n v="0"/>
    <s v="N.A"/>
    <s v="GESTIÓN CONTRACTUAL"/>
    <s v="JUAN MANUEL ESPINOSA RESTREPO "/>
    <n v="3422121"/>
  </r>
  <r>
    <n v="93141708"/>
    <s v="ACADÉMICA"/>
    <x v="7"/>
    <s v="APROPIACIÓN SOCIAL DEL CONOCIMIENTO"/>
    <s v="GESTIÓN DE MUSEOS"/>
    <s v="TRANSPORTES ESPECIALES OBRAS DE GRAN FORMATO PARA LA EXPOSICION DE VUELTA A CASA"/>
    <n v="3"/>
    <n v="3"/>
    <n v="6"/>
    <n v="0"/>
    <s v="CONTRATACIÓN DIRECTA"/>
    <x v="0"/>
    <n v="5600000"/>
    <s v="C-3399-1603-4-0-3399016"/>
    <n v="201891000284"/>
    <x v="2"/>
    <x v="6"/>
    <s v=" REALIZAR MANTENIMIENTO A ELEMENTOS NO ESTRUCTURALES DE LAS SEDES "/>
    <s v="NO"/>
    <n v="0"/>
    <s v="N.A"/>
    <s v="GESTIÓN CONTRACTUAL"/>
    <s v="JUAN MANUEL ESPINOSA RESTREPO "/>
    <n v="3422121"/>
  </r>
  <r>
    <n v="93141708"/>
    <s v="ACADÉMICA"/>
    <x v="7"/>
    <s v="APROPIACIÓN SOCIAL DEL CONOCIMIENTO"/>
    <s v="GESTIÓN DE MUSEOS"/>
    <s v="PRODUCCION MUSEOGRAFICA 1 EXPOSICION "/>
    <n v="1"/>
    <n v="1"/>
    <n v="2"/>
    <n v="0"/>
    <s v="CONTRATACIÓN DIRECTA"/>
    <x v="0"/>
    <n v="20000000"/>
    <s v="C-3302-1603-2-0-3302070"/>
    <n v="201891000290"/>
    <x v="0"/>
    <x v="1"/>
    <s v="REALIZAR ACTIVIDADES DE CONSOLIDACIÓN ACADÉMICA"/>
    <s v="NO"/>
    <n v="0"/>
    <s v="N.A"/>
    <s v="GESTIÓN CONTRACTUAL"/>
    <s v="JUAN MANUEL ESPINOSA RESTREPO "/>
    <n v="3422121"/>
  </r>
  <r>
    <n v="86101700"/>
    <s v="ACADÉMICA"/>
    <x v="8"/>
    <s v="FORMACIÓN"/>
    <s v="SUBDIRECCIÓN ACADÉMICA"/>
    <s v="CELEBRACIÓN DÍA DE LAS LENGUAS NATIVAS HONORARIOS"/>
    <n v="2"/>
    <n v="2"/>
    <n v="1"/>
    <n v="0"/>
    <s v="CONTRATACIÓN REGIMEN ESPECIAL"/>
    <x v="0"/>
    <n v="7000000"/>
    <s v="C-3302-1603-2-0-3302067"/>
    <n v="201891000290"/>
    <x v="0"/>
    <x v="0"/>
    <s v="EJECUTAR PROGRAMAS DE POSGRADO CON REGISTRO CALIFICADO VIGENTE"/>
    <s v="NO"/>
    <n v="0"/>
    <s v="N.A"/>
    <s v="GESTIÓN CONTRACTUAL"/>
    <s v="JUAN MANUEL ESPINOSA RESTREPO"/>
    <n v="3422121"/>
  </r>
  <r>
    <n v="86101700"/>
    <s v="ACADÉMICA"/>
    <x v="8"/>
    <s v="FORMACIÓN"/>
    <s v="SUBDIRECCIÓN ACADÉMICA"/>
    <s v="SEMINARIO PERMANENTE LENGUAS NATIVAS HONORARIOS"/>
    <n v="3"/>
    <n v="3"/>
    <n v="9"/>
    <n v="0"/>
    <s v="CONTRATACIÓN REGIMEN ESPECIAL"/>
    <x v="0"/>
    <n v="9000000"/>
    <s v="C-3302-1603-2-0-3302067"/>
    <n v="201891000290"/>
    <x v="0"/>
    <x v="0"/>
    <s v="EJECUTAR PROGRAMAS DE POSGRADO CON REGISTRO CALIFICADO VIGENTE"/>
    <s v="NO"/>
    <n v="0"/>
    <s v="N.A"/>
    <s v="GESTIÓN CONTRACTUAL"/>
    <s v="JUAN MANUEL ESPINOSA RESTREPO"/>
    <n v="3422121"/>
  </r>
  <r>
    <n v="86101700"/>
    <s v="ACADÉMICA"/>
    <x v="8"/>
    <s v="FORMACIÓN"/>
    <s v="SUBDIRECCIÓN ACADÉMICA"/>
    <s v="CÁTEDRA DE HERENCIA AFRICANA - HONORARIOS "/>
    <n v="3"/>
    <n v="3"/>
    <n v="9"/>
    <n v="0"/>
    <s v="CONTRATACIÓN REGIMEN ESPECIAL"/>
    <x v="0"/>
    <n v="9000000"/>
    <s v="C-3302-1603-2-0-3302067"/>
    <n v="201891000290"/>
    <x v="0"/>
    <x v="0"/>
    <s v="EJECUTAR PROGRAMAS DE POSGRADO CON REGISTRO CALIFICADO VIGENTE"/>
    <s v="NO"/>
    <n v="0"/>
    <s v="N.A"/>
    <s v="GESTIÓN CONTRACTUAL"/>
    <s v="JUAN MANUEL ESPINOSA RESTREPO"/>
    <n v="3422121"/>
  </r>
  <r>
    <n v="93151501"/>
    <s v="ACADÉMICA"/>
    <x v="8"/>
    <s v="DIRECCIONAMIENTO ESTRATÉGICO"/>
    <s v="SUBDIRECCIÓN ACADÉMICA"/>
    <s v="CONTRATACIÓN PARA LA PRESTACIÓN DE SERVICIOS PROFESIONALES PARA APOYAR LA SUPERVISIÓN DE LAS ACTIVIDADES ACADÉMICAS, ADMINISTRATIVAS Y FINANCIERAS DE LA SUBDIRECCIÓN ACADÉMICA DEL INSTITUTO CARO Y CUERVO"/>
    <n v="1"/>
    <n v="1"/>
    <n v="11"/>
    <n v="15"/>
    <s v="CONTRATACIÓN DIRECTA"/>
    <x v="0"/>
    <n v="71069692"/>
    <s v="C-3399-1603-4-0-3399056"/>
    <n v="201891000284"/>
    <x v="2"/>
    <x v="8"/>
    <s v=" DISEÑAR HERRAMIENTAS PARA ORIENTAR LA PLANEACIÓN INSTITUCIONAL "/>
    <s v="NO"/>
    <n v="0"/>
    <s v="N.A"/>
    <s v="GESTIÓN CONTRACTUAL"/>
    <s v="JUAN MANUEL ESPINOSA RESTREPO"/>
    <n v="3422121"/>
  </r>
  <r>
    <n v="0"/>
    <s v="ACADÉMICA"/>
    <x v="8"/>
    <s v="FORMACIÓN"/>
    <s v="BECAS ESTÍMULOS 2021"/>
    <s v="BECAS ICC EN PROGRAMA NACIONAL DE ESTÍMULOS 2022"/>
    <n v="4"/>
    <n v="4"/>
    <n v="9"/>
    <n v="0"/>
    <s v="CONTRATACIÓN DIRECTA"/>
    <x v="0"/>
    <n v="132000000"/>
    <s v="C-3302-1603-2-0-3302001"/>
    <n v="201891000290"/>
    <x v="0"/>
    <x v="2"/>
    <s v="DISEÑAR, APROBAR Y EJECUTAR LOS PROYECTOS DE INVESTIGACIÓN"/>
    <s v="SI"/>
    <n v="44000000"/>
    <s v="SOLICITADAS"/>
    <s v="GESTIÓN CONTRACTUAL"/>
    <s v="JUAN MANUEL ESPINOSA RESTREPO"/>
    <n v="3422121"/>
  </r>
  <r>
    <n v="0"/>
    <s v="ACADÉMICA"/>
    <x v="8"/>
    <s v="FORMACIÓN"/>
    <s v="SUBDIRECCIÓN ACADÉMICA"/>
    <s v="PAGO CUOTA ASCUN"/>
    <n v="2"/>
    <n v="2"/>
    <n v="1"/>
    <n v="0"/>
    <s v="CONTRATACIÓN DIRECTA"/>
    <x v="1"/>
    <n v="22000000"/>
    <s v="C-3302-1603-2-0-3302070"/>
    <n v="201891000290"/>
    <x v="0"/>
    <x v="1"/>
    <s v="REALIZAR ACTIVIDADES DE CONSOLIDACIÓN ACADÉMICA"/>
    <s v="NO"/>
    <n v="0"/>
    <s v="N.A"/>
    <s v="GESTIÓN CONTRACTUAL"/>
    <s v="JUAN MANUEL ESPINOSA RESTREPO"/>
    <n v="3422121"/>
  </r>
  <r>
    <n v="0"/>
    <s v="ACADÉMICA"/>
    <x v="8"/>
    <s v="FORMACIÓN"/>
    <s v="SUBDIRECCIÓN ACADÉMICA"/>
    <s v="PAGO CUOTA SICELE"/>
    <n v="2"/>
    <n v="2"/>
    <n v="1"/>
    <n v="0"/>
    <s v="CONTRATACIÓN DIRECTA"/>
    <x v="1"/>
    <n v="4000000"/>
    <s v="C-3302-1603-2-0-3302070"/>
    <n v="201891000290"/>
    <x v="0"/>
    <x v="1"/>
    <s v="REALIZAR ACTIVIDADES DE CONSOLIDACIÓN ACADÉMICA"/>
    <s v="NO"/>
    <n v="0"/>
    <s v="N.A"/>
    <s v="GESTIÓN CONTRACTUAL"/>
    <s v="JUAN MANUEL ESPINOSA RESTREPO"/>
    <n v="3422121"/>
  </r>
  <r>
    <n v="78141500"/>
    <s v="ACADÉMICA"/>
    <x v="8"/>
    <s v="FORMACIÓN"/>
    <s v="SUBDIRECCIÓN ACADÉMICA"/>
    <s v="GASTOS DE VIAJE (CONTRATISTAS) PARA DESPLAZARSE A IMPARTIR CURSOS DE DOCUMENTACIÓN LINGÜÍSTICA Y CULTURAL A COMUNIDADES INDÍGENAS EN EL MARCO DE SENTENCIAS DE JUZGADOS Y/O PLANES INTEGRALES DE REPARACIÓN - PLAN DECENAL DE LENGUAS"/>
    <n v="5"/>
    <n v="5"/>
    <n v="5"/>
    <n v="0"/>
    <s v="CONTRATACIÓN DIRECTA"/>
    <x v="1"/>
    <n v="8000000"/>
    <s v="C-3302-1603-2-0-3302070"/>
    <n v="201891000290"/>
    <x v="0"/>
    <x v="1"/>
    <s v="REALIZAR ACTIVIDADES DE CONSOLIDACIÓN ACADÉMICA"/>
    <s v="NO"/>
    <n v="0"/>
    <s v="N.A"/>
    <s v="GESTIÓN CONTRACTUAL"/>
    <s v="JUAN MANUEL ESPINOSA RESTREPO"/>
    <n v="3422121"/>
  </r>
  <r>
    <s v="78111502; 90121502"/>
    <s v="ACADÉMICA"/>
    <x v="8"/>
    <s v="FORMACIÓN"/>
    <s v="SUBDIRECCIÓN ACADÉMICA"/>
    <s v="TIQUETES PARA DESPLAZARSE A IMPARTIR CURSOS DE DOCUMENTACIÓN LINGÜÍSTICA Y CULTURAL A COMUNIDADES INDÍGENAS EN EL MARCO DE SENTENCIAS DE JUZGADOS Y/O PLANES INTEGRALES DE REPARACIÓN - PLAN DECENAL DE LENGUAS"/>
    <n v="5"/>
    <n v="5"/>
    <n v="5"/>
    <n v="0"/>
    <s v="CONTRATACIÓN DIRECTA"/>
    <x v="0"/>
    <n v="8000000"/>
    <s v="C-3302-1603-2-0-3302070"/>
    <n v="201891000290"/>
    <x v="0"/>
    <x v="1"/>
    <s v="REALIZAR ACTIVIDADES DE CONSOLIDACIÓN ACADÉMICA"/>
    <s v="NO"/>
    <n v="0"/>
    <s v="N.A"/>
    <s v="GESTIÓN CONTRACTUAL"/>
    <s v="JUAN MANUEL ESPINOSA RESTREPO"/>
    <n v="3422121"/>
  </r>
  <r>
    <n v="86101700"/>
    <s v="ACADÉMICA"/>
    <x v="8"/>
    <s v="FORMACIÓN"/>
    <s v="SUBDIRECCIÓN ACADÉMICA"/>
    <s v="REVISIÓN PRUEBAS CANCILLERÍA 2022"/>
    <n v="4"/>
    <n v="4"/>
    <n v="1"/>
    <n v="0"/>
    <s v="CONTRATACIÓN DIRECTA"/>
    <x v="0"/>
    <n v="25000000"/>
    <s v="C-3302-1603-2-0-3302066"/>
    <n v="201891000290"/>
    <x v="0"/>
    <x v="4"/>
    <s v="PROGRAMAR, DISEÑAR Y OFERTAR PROGRAMAS DE EDUCACIÓN INFORMAL"/>
    <s v="NO"/>
    <n v="0"/>
    <s v="N.A"/>
    <s v="GESTIÓN CONTRACTUAL"/>
    <s v="JUAN MANUEL ESPINOSA RESTREPO"/>
    <n v="3422121"/>
  </r>
  <r>
    <n v="86101700"/>
    <s v="ACADÉMICA"/>
    <x v="8"/>
    <s v="FORMACIÓN"/>
    <s v="SUBDIRECCIÓN ACADÉMICA"/>
    <s v="CONTRATACIÓN PROFESIONALES EN LEXICOGRAFÍA PARA CONVENIO CON LA RAE - DHLE (DICCIONARIO HISTÓRICO DE LA LENGUA ESPAÑOLA)"/>
    <n v="1"/>
    <n v="1"/>
    <n v="5"/>
    <n v="0"/>
    <s v="CONTRATACIÓN DIRECTA"/>
    <x v="0"/>
    <n v="25000000"/>
    <s v="C-3302-1603-2-0-3302066"/>
    <n v="201891000290"/>
    <x v="0"/>
    <x v="4"/>
    <s v="PROGRAMAR, DISEÑAR Y OFERTAR PROGRAMAS DE EDUCACIÓN INFORMAL"/>
    <s v="NO"/>
    <n v="0"/>
    <s v="N.A"/>
    <s v="GESTIÓN CONTRACTUAL"/>
    <s v="JUAN MANUEL ESPINOSA RESTREPO"/>
    <n v="3422121"/>
  </r>
  <r>
    <n v="80111621"/>
    <s v="ACADÉMICA"/>
    <x v="8"/>
    <s v="FORMACIÓN"/>
    <s v="OBSERVATORIO EDITORIAL COLOMBIANO"/>
    <s v="CONTRATACIÓN PARA PRESTAR LOS SERVICIOS PROFESIONALES COMO INVESTIGADOR DEL OBSERVATORIO EDITORIAL COLOMBIANO"/>
    <n v="1"/>
    <n v="1"/>
    <n v="10"/>
    <n v="0"/>
    <s v="CONTRATACIÓN DIRECTA"/>
    <x v="0"/>
    <n v="19096200"/>
    <s v="C-3302-1603-2-0-3302001"/>
    <n v="201891000290"/>
    <x v="0"/>
    <x v="2"/>
    <s v="DISEÑAR, APROBAR Y EJECUTAR LOS PROYECTOS DE INVESTIGACIÓN"/>
    <s v="NO"/>
    <n v="0"/>
    <s v="N.A"/>
    <s v="GESTIÓN CONTRACTUAL"/>
    <s v="JUAN MANUEL ESPINOSA RESTREPO"/>
    <n v="3422121"/>
  </r>
  <r>
    <n v="80111621"/>
    <s v="ACADÉMICA"/>
    <x v="8"/>
    <s v="FORMACIÓN"/>
    <s v="OBSERVATORIO EDITORIAL COLOMBIANO"/>
    <s v="CONTRATACIÓN PARA PRESTAR LOS SERVICIOS PROFESIONALES COMO INVESTIGADOR DEL OBSERVATORIO EDITORIAL COLOMBIANO"/>
    <n v="1"/>
    <n v="1"/>
    <n v="10"/>
    <n v="0"/>
    <s v="CONTRATACIÓN DIRECTA"/>
    <x v="0"/>
    <n v="19096200"/>
    <s v="C-3302-1603-2-0-3302001"/>
    <n v="201891000290"/>
    <x v="0"/>
    <x v="2"/>
    <s v="DISEÑAR, APROBAR Y EJECUTAR LOS PROYECTOS DE INVESTIGACIÓN"/>
    <s v="NO"/>
    <n v="0"/>
    <s v="N.A"/>
    <s v="GESTIÓN CONTRACTUAL"/>
    <s v="JUAN MANUEL ESPINOSA RESTREPO"/>
    <n v="3422121"/>
  </r>
  <r>
    <n v="86101600"/>
    <s v="ACADÉMICA"/>
    <x v="0"/>
    <s v="FORMACIÓN"/>
    <s v="MAESTRÍA EN ESCRITURA CREATIVA"/>
    <s v="COORDINADOR ACADÉMICO Y COORDINADOR DE EXTENSIÓN. TUTORÍAS INDIVIDUALES (2022-1). "/>
    <n v="1"/>
    <n v="1"/>
    <n v="11"/>
    <n v="0"/>
    <s v="CONTRATACIÓN DIRECTA"/>
    <x v="0"/>
    <n v="73520370"/>
    <s v="C-3302-1603-2-0-3302067"/>
    <n v="201891000290"/>
    <x v="0"/>
    <x v="0"/>
    <s v="EJECUTAR PROGRAMAS DE POSGRADO CON REGISTRO CALIFICADO VIGENTE"/>
    <s v="NO"/>
    <n v="0"/>
    <s v="N.A"/>
    <s v="GESTIÓN CONTRACTUAL"/>
    <s v="MARÍA OFELIA ROS MATTURRO"/>
    <n v="3422121"/>
  </r>
  <r>
    <n v="86101600"/>
    <s v="ACADÉMICA"/>
    <x v="0"/>
    <s v="FORMACIÓN"/>
    <s v="MAESTRÍA EN ESCRITURA CREATIVA"/>
    <s v="COORDINADORA DE EXTENSIÓN. TUTORÍAS INDIVIDUALES (2022-1). PROFESORA DE DIPLOMADO LATINOAMERICANO (2022-2, CURSO DE 36 HORAS) "/>
    <n v="2"/>
    <n v="2"/>
    <n v="10"/>
    <n v="15"/>
    <s v="CONTRATACIÓN DIRECTA"/>
    <x v="0"/>
    <n v="55140278"/>
    <s v="C-3302-1603-2-0-3302067"/>
    <n v="201891000290"/>
    <x v="0"/>
    <x v="0"/>
    <s v="EJECUTAR PROGRAMAS DE POSGRADO CON REGISTRO CALIFICADO VIGENTE"/>
    <s v="NO"/>
    <n v="0"/>
    <s v="N.A"/>
    <s v="GESTIÓN CONTRACTUAL"/>
    <s v="MARÍA OFELIA ROS MATTURRO"/>
    <n v="3422121"/>
  </r>
  <r>
    <n v="86101600"/>
    <s v="ACADÉMICA"/>
    <x v="0"/>
    <s v="FORMACIÓN"/>
    <s v="MAESTRÍA EN ESCRITURA CREATIVA"/>
    <s v="DIRECTORA DE PROYECTO DE INVESTIGACIÓN. TUTORÍAS INDIVIDUALES (2022-1). PROFESORA DEL SEMINARIO-TALLER DE PROBLEMAS NARRATIVOS (2022-2)."/>
    <n v="2"/>
    <n v="2"/>
    <n v="10"/>
    <n v="15"/>
    <s v="CONTRATACIÓN DIRECTA"/>
    <x v="0"/>
    <n v="55140278"/>
    <s v="C-3302-1603-2-0-3302067"/>
    <n v="201891000290"/>
    <x v="0"/>
    <x v="0"/>
    <s v="EJECUTAR PROGRAMAS DE POSGRADO CON REGISTRO CALIFICADO VIGENTE"/>
    <s v="NO"/>
    <n v="0"/>
    <s v="N.A"/>
    <s v="GESTIÓN CONTRACTUAL"/>
    <s v="MARÍA OFELIA ROS MATTURRO"/>
    <n v="3422121"/>
  </r>
  <r>
    <n v="86101600"/>
    <s v="ACADÉMICA"/>
    <x v="0"/>
    <s v="FORMACIÓN"/>
    <s v="MAESTRÍA EN ESCRITURA CREATIVA"/>
    <s v="DIRECTOR DE PROYECTO DE INVESTIGACIÓN. TUTORÍAS INDIVIDUALES (2022-1). PROFESOR DE ELECTIVA (2022-2)."/>
    <n v="2"/>
    <n v="2"/>
    <n v="10"/>
    <n v="15"/>
    <s v="CONTRATACIÓN DIRECTA"/>
    <x v="0"/>
    <n v="55140278"/>
    <s v="C-3302-1603-2-0-3302067"/>
    <n v="201891000290"/>
    <x v="0"/>
    <x v="0"/>
    <s v="EJECUTAR PROGRAMAS DE POSGRADO CON REGISTRO CALIFICADO VIGENTE"/>
    <s v="NO"/>
    <n v="0"/>
    <s v="N.A"/>
    <s v="GESTIÓN CONTRACTUAL"/>
    <s v="MARÍA OFELIA ROS MATTURRO"/>
    <n v="3422121"/>
  </r>
  <r>
    <n v="86101600"/>
    <s v="ACADÉMICA"/>
    <x v="0"/>
    <s v="FORMACIÓN"/>
    <s v="MAESTRÍA EN ESCRITURA CREATIVA"/>
    <s v="LÍDER DE LÍNEA DE INVESTIGACIÓN. TUTORÍAS INDIVIDUALES (2022-1). PROFESOR DEL CURSO INTERIORES DE LA ESCRITURA (2022-2)."/>
    <n v="2"/>
    <n v="2"/>
    <n v="10"/>
    <n v="15"/>
    <s v="CONTRATACIÓN DIRECTA"/>
    <x v="0"/>
    <n v="58482113"/>
    <s v="C-3302-1603-2-0-3302067"/>
    <n v="201891000290"/>
    <x v="0"/>
    <x v="0"/>
    <s v="EJECUTAR PROGRAMAS DE POSGRADO CON REGISTRO CALIFICADO VIGENTE"/>
    <s v="NO"/>
    <n v="0"/>
    <s v="N.A"/>
    <s v="GESTIÓN CONTRACTUAL"/>
    <s v="MARÍA OFELIA ROS MATTURRO"/>
    <n v="3422121"/>
  </r>
  <r>
    <n v="86101600"/>
    <s v="ACADÉMICA"/>
    <x v="0"/>
    <s v="FORMACIÓN"/>
    <s v="MAESTRÍA EN ESTUDIOS EDITORIALES"/>
    <s v="CONTRATACIÓN: DOCENTE CURSO TRONCAL: ESCRITURA ARGUMENTATIVA (2022-2)"/>
    <n v="8"/>
    <n v="8"/>
    <n v="4"/>
    <n v="0"/>
    <s v="CONTRATACIÓN DIRECTA"/>
    <x v="0"/>
    <n v="9658311"/>
    <s v="C-3302-1603-2-0-3302067"/>
    <n v="201891000290"/>
    <x v="0"/>
    <x v="0"/>
    <s v="EJECUTAR PROGRAMAS DE POSGRADO CON REGISTRO CALIFICADO VIGENTE"/>
    <s v="NO"/>
    <n v="0"/>
    <s v="N.A"/>
    <s v="GESTIÓN CONTRACTUAL"/>
    <s v="MARÍA OFELIA ROS MATTURRO"/>
    <n v="3422121"/>
  </r>
  <r>
    <n v="86101600"/>
    <s v="ACADÉMICA"/>
    <x v="0"/>
    <s v="FORMACIÓN"/>
    <s v="MAESTRÍA EN ESTUDIOS EDITORIALES"/>
    <s v="CONTRATACIÓN DOCENTE- INVESTIGADOR: DOCENTE SEMINARIO IV (2022-1) Y ELECTIVA/EXTENSIÓN (2022-2) - LÍDER PROYECTO DE INVESTIGACIÓN - ASESORA DE TESIS"/>
    <n v="2"/>
    <n v="2"/>
    <n v="10"/>
    <n v="15"/>
    <s v="CONTRATACIÓN DIRECTA"/>
    <x v="0"/>
    <n v="46785690"/>
    <s v="C-3302-1603-2-0-3302067"/>
    <n v="201891000290"/>
    <x v="0"/>
    <x v="0"/>
    <s v="EJECUTAR PROGRAMAS DE POSGRADO CON REGISTRO CALIFICADO VIGENTE"/>
    <s v="NO"/>
    <n v="0"/>
    <s v="N.A"/>
    <s v="GESTIÓN CONTRACTUAL"/>
    <s v="MARÍA OFELIA ROS MATTURRO"/>
    <n v="3422121"/>
  </r>
  <r>
    <n v="86101600"/>
    <s v="ACADÉMICA"/>
    <x v="0"/>
    <s v="FORMACIÓN"/>
    <s v="MAESTRÍA EN ESTUDIOS EDITORIALES"/>
    <s v="CONTRATACIÓN DOCENTE-INVESTIGADOR: DOCENTE ELECTIVA/EXTENSIÓN (2022-1) Y DISEÑO Y TIPOGRAFÍA I (2022-2) - LÍDER PROYECTO DE INVESTIGACIÓN - ASESOR DE TESIS"/>
    <n v="2"/>
    <n v="2"/>
    <n v="10"/>
    <n v="15"/>
    <s v="CONTRATACIÓN DIRECTA"/>
    <x v="0"/>
    <n v="52633901.25"/>
    <s v="C-3302-1603-2-0-3302067"/>
    <n v="201891000290"/>
    <x v="0"/>
    <x v="0"/>
    <s v="EJECUTAR PROGRAMAS DE POSGRADO CON REGISTRO CALIFICADO VIGENTE"/>
    <s v="NO"/>
    <n v="0"/>
    <s v="N.A"/>
    <s v="GESTIÓN CONTRACTUAL"/>
    <s v="MARÍA OFELIA ROS MATTURRO"/>
    <n v="3422121"/>
  </r>
  <r>
    <n v="86101600"/>
    <s v="ACADÉMICA"/>
    <x v="0"/>
    <s v="FORMACIÓN"/>
    <s v="MAESTRÍA EN ESTUDIOS EDITORIALES"/>
    <s v="CONTRATACIÓN DOCENTE-INVESTIGADOR: DOCENTE ELECTIVA/EXTENSIÓN (2022-1) Y SEMINARIO I (2022-2) - LÍDER PROYECTO DE INVESTIGACIÓN - ASESORA DE TESIS - DIRECTORA LÍNEA DE INVESTIGACIÓN - COORDINADORA DIPLOMADO"/>
    <n v="2"/>
    <n v="2"/>
    <n v="10"/>
    <n v="15"/>
    <s v="CONTRATACIÓN DIRECTA"/>
    <x v="0"/>
    <n v="64582287.5"/>
    <s v="C-3302-1603-2-0-3302067"/>
    <n v="201891000290"/>
    <x v="0"/>
    <x v="0"/>
    <s v="EJECUTAR PROGRAMAS DE POSGRADO CON REGISTRO CALIFICADO VIGENTE"/>
    <s v="NO"/>
    <n v="0"/>
    <s v="N.A"/>
    <s v="GESTIÓN CONTRACTUAL"/>
    <s v="MARÍA OFELIA ROS MATTURRO"/>
    <n v="3422121"/>
  </r>
  <r>
    <n v="86101600"/>
    <s v="ACADÉMICA"/>
    <x v="0"/>
    <s v="FORMACIÓN"/>
    <s v="MAESTRÍA EN ESTUDIOS EDITORIALES"/>
    <s v="CONTRATACIÓN COORDINADOR MAESTRÍA-INVESTIGADOR: COORDINACIÓN DE LA MEE - ACTUALIZACIÓN DOC. MAESTRO - LÍDER DE PROYECTO INVESTIGACIÓN - ASESOR DE TESIS - CURSO DE EXTENSIÓN (2022-2) "/>
    <n v="1"/>
    <n v="1"/>
    <n v="11"/>
    <n v="0"/>
    <s v="CONTRATACIÓN DIRECTA"/>
    <x v="0"/>
    <n v="73520370"/>
    <s v="C-3302-1603-2-0-3302067"/>
    <n v="201891000290"/>
    <x v="0"/>
    <x v="0"/>
    <s v="EJECUTAR PROGRAMAS DE POSGRADO CON REGISTRO CALIFICADO VIGENTE"/>
    <s v="NO"/>
    <n v="0"/>
    <s v="N.A"/>
    <s v="GESTIÓN CONTRACTUAL"/>
    <s v="MARÍA OFELIA ROS MATTURRO"/>
    <n v="3422121"/>
  </r>
  <r>
    <n v="86121700"/>
    <s v="ACADÉMICA"/>
    <x v="0"/>
    <s v="FORMACIÓN"/>
    <s v="MAESTRÍA EN ESTUDIOS EDITORIALES"/>
    <s v="CONTRATACIÓN DOCENTE DOS CURSOS ELECTIVA-EXTENSIÓN: DOCENTE CURSOS: CORRECCIÓN DE ESTILO BÁSICA (2022-1) Y CORRECCIÓN DE ESTILO Y CUIDADO DE TEXTOS LITERARIOS (2022-2) Y UN CURSO INTERSEMESTRAL"/>
    <n v="2"/>
    <n v="2"/>
    <n v="8"/>
    <n v="0"/>
    <s v="CONTRATACIÓN DIRECTA"/>
    <x v="0"/>
    <n v="15432696"/>
    <s v="C-3302-1603-2-0-3302067"/>
    <n v="201891000290"/>
    <x v="0"/>
    <x v="0"/>
    <s v="EJECUTAR PROGRAMAS DE POSGRADO CON REGISTRO CALIFICADO VIGENTE"/>
    <s v="NO"/>
    <n v="0"/>
    <s v="N.A"/>
    <s v="GESTIÓN CONTRACTUAL"/>
    <s v="MARÍA OFELIA ROS MATTURRO"/>
    <n v="3422121"/>
  </r>
  <r>
    <n v="86101600"/>
    <s v="ACADÉMICA"/>
    <x v="0"/>
    <s v="FORMACIÓN"/>
    <s v="MAESTRÍA EN ESTUDIOS EDITORIALES"/>
    <s v="DIEZ LICENCIAS ESTUDIOS EDITORIALES IN DESIGN ADOBE, 10 LICENCIAS DE AGOSTO A NOVIEMBRE"/>
    <n v="6"/>
    <n v="6"/>
    <n v="0"/>
    <n v="0"/>
    <s v="CONTRATACIÓN DIRECTA"/>
    <x v="0"/>
    <n v="7007800"/>
    <s v="C-3302-1603-2-0-3302067"/>
    <n v="201891000290"/>
    <x v="0"/>
    <x v="0"/>
    <s v="EJECUTAR PROGRAMAS DE POSGRADO CON REGISTRO CALIFICADO VIGENTE"/>
    <s v="NO"/>
    <n v="0"/>
    <s v="N.A"/>
    <s v="GESTIÓN CONTRACTUAL"/>
    <s v="MARÍA OFELIA ROS MATTURRO"/>
    <n v="3422121"/>
  </r>
  <r>
    <n v="86101600"/>
    <s v="ACADÉMICA"/>
    <x v="0"/>
    <s v="FORMACIÓN"/>
    <s v="MAESTRÍA EN LINGÜÍSTICA"/>
    <s v="COORDINADOR MAESTRÍA EN LINGÜÍSTICA + DOCENTE DE UN CURSO AL SEMESTRE + COORDINADOR DE LÍNEA DE INVESTIGACIÓN EN ESTUDIOS FÓNICOS +, INVESTIGADOR CON PROYECTO APROBADO + CINCO ASESORÍAS POR SEMESTRE A CADA ALUMNO + TUTOR DE MÍNIMO DOS TRABAJOS DE GRADO"/>
    <n v="1"/>
    <n v="11"/>
    <n v="11"/>
    <n v="0"/>
    <s v="CONTRATACIÓN DIRECTA"/>
    <x v="0"/>
    <n v="88644560"/>
    <s v="C-3302-1603-2-0-3302067"/>
    <n v="201891000290"/>
    <x v="0"/>
    <x v="0"/>
    <s v="EJECUTAR PROGRAMAS DE POSGRADO CON REGISTRO CALIFICADO VIGENTE"/>
    <s v="NO"/>
    <n v="0"/>
    <s v="N.A"/>
    <s v="GESTIÓN CONTRACTUAL"/>
    <s v="MARÍA OFELIA ROS MATTURRO"/>
    <n v="3422121"/>
  </r>
  <r>
    <n v="86101600"/>
    <s v="ACADÉMICA"/>
    <x v="0"/>
    <s v="FORMACIÓN"/>
    <s v="MAESTRÍA EN LINGÜÍSTICA"/>
    <s v="DOCENTE INVESTIGADOR CON DOCTORADO + HASTA DOS CURSOS POR SEMESTRE + INVESTIGADOR CON PROYECTO APROBADO + TUTOR DE MÍNIMO DOS TRABAJOS DE GRADO + CINCO ASESORÍAS POR SEMESTRE A CADA ALUMNO + EVALUACIÓN DE TRABAJOS DE GRADO + ANTEPROYECTOS CUANDO SE REQUIERA"/>
    <n v="1"/>
    <n v="10"/>
    <n v="10"/>
    <n v="15"/>
    <s v="CONTRATACIÓN DIRECTA"/>
    <x v="0"/>
    <n v="52633371"/>
    <s v="C-3302-1603-2-0-3302067"/>
    <n v="201891000290"/>
    <x v="0"/>
    <x v="0"/>
    <s v="EJECUTAR PROGRAMAS DE POSGRADO CON REGISTRO CALIFICADO VIGENTE"/>
    <s v="NO"/>
    <n v="0"/>
    <s v="N.A"/>
    <s v="GESTIÓN CONTRACTUAL"/>
    <s v="MARÍA OFELIA ROS MATTURRO"/>
    <n v="3422121"/>
  </r>
  <r>
    <n v="86101600"/>
    <s v="ACADÉMICA"/>
    <x v="0"/>
    <s v="FORMACIÓN"/>
    <s v="MAESTRÍA EN LINGÜÍSTICA"/>
    <s v="DOCENTE INVESTIGADOR CON DOCTORADO + HASTA DOS CURSOS POR SEMESTRE + INVESTIGADOR CON PROYECTO APROBADO + TUTOR DE MÍNIMO DOS TRABAJOS DE GRADO + CINCO ASESORÍAS POR SEMESTRE A CADA ALUMNO + EVALUACIÓN DE TRABAJOS DE GRADO + ANTEPROYECTOS CUANDO SE REQUIERA"/>
    <n v="1"/>
    <n v="10"/>
    <n v="10"/>
    <n v="15"/>
    <s v="CONTRATACIÓN DIRECTA"/>
    <x v="0"/>
    <n v="52633371"/>
    <s v="C-3302-1603-2-0-3302067"/>
    <n v="201891000290"/>
    <x v="0"/>
    <x v="0"/>
    <s v="EJECUTAR PROGRAMAS DE POSGRADO CON REGISTRO CALIFICADO VIGENTE"/>
    <s v="NO"/>
    <n v="0"/>
    <s v="N.A"/>
    <s v="GESTIÓN CONTRACTUAL"/>
    <s v="MARÍA OFELIA ROS MATTURRO"/>
    <n v="3422121"/>
  </r>
  <r>
    <n v="86101600"/>
    <s v="ACADÉMICA"/>
    <x v="0"/>
    <s v="FORMACIÓN"/>
    <s v="MAESTRÍA EN LINGÜÍSTICA"/>
    <s v="DOCENTE INVESTIGADOR CON DOCTORADO + HASTA DOS CURSOS POR SEMESTRE + INVESTIGADOR CON PROYECTO APROBADO + TUTOR DE MÍNIMO DOS TRABAJOS DE GRADO + CINCO ASESORÍAS POR SEMESTRE A CADA ALUMNO + EVALUACIÓN DE TRABAJOS DE GRADO + ANTEPROYECTOS CUANDO SE REQUIERA"/>
    <n v="1"/>
    <n v="10"/>
    <n v="10"/>
    <n v="15"/>
    <s v="CONTRATACIÓN DIRECTA"/>
    <x v="0"/>
    <n v="52633371"/>
    <s v="C-3302-1603-2-0-3302067"/>
    <n v="201891000290"/>
    <x v="0"/>
    <x v="0"/>
    <s v="EJECUTAR PROGRAMAS DE POSGRADO CON REGISTRO CALIFICADO VIGENTE"/>
    <s v="NO"/>
    <n v="0"/>
    <s v="N.A"/>
    <s v="GESTIÓN CONTRACTUAL"/>
    <s v="MARÍA OFELIA ROS MATTURRO"/>
    <n v="3422121"/>
  </r>
  <r>
    <n v="86101600"/>
    <s v="ACADÉMICA"/>
    <x v="0"/>
    <s v="FORMACIÓN"/>
    <s v="MAESTRÍA EN LITERATURA Y CULTURA"/>
    <s v="CONTRATACIÓN DE UNA DOCENTE INVESTIGADORA CON DOCTORADO QUE COORDINARÁ LA CÁTEDRA DE HERENCIA AFRICANA, DICTARÁ EL CURSO &quot;TEORÍAS, POLÍTICAS Y CULTURA EN LATINOAMÉRICA&quot; EN EL PRIMER SEMESTRE 2022-1 Y &quot;SEMINARIO DE TRABAJO DE GRADO&quot; EN EL SEGUNDO SEMESTRE, 2022-2 Y SERÁ DIRECTORA DEL PROYECTO DE INVESTIGACIÓN POÉTICAS TRANSFRONTERIZAS (AFRO E INDÍGENAS).  NOMBRE: GRACIELA MAGLIA."/>
    <n v="2"/>
    <n v="10"/>
    <n v="10"/>
    <n v="15"/>
    <s v="CONTRATACIÓN DIRECTA"/>
    <x v="0"/>
    <n v="63336503"/>
    <s v="C-3302-1603-2-0-3302067"/>
    <n v="201891000290"/>
    <x v="0"/>
    <x v="0"/>
    <s v="EJECUTAR PROGRAMAS DE POSGRADO CON REGISTRO CALIFICADO VIGENTE"/>
    <s v="NO"/>
    <n v="0"/>
    <s v="N.A"/>
    <s v="GESTIÓN CONTRACTUAL"/>
    <s v="MARÍA OFELIA ROS MATTURRO"/>
    <n v="3422121"/>
  </r>
  <r>
    <n v="86101600"/>
    <s v="ACADÉMICA"/>
    <x v="0"/>
    <s v="FORMACIÓN"/>
    <s v="MAESTRÍA EN LITERATURA Y CULTURA"/>
    <s v="CONTRATACIÓN DE UN DOCENTE INVESTIGADOR QUE DICTARÁ DOS CURSOS DE LA MAESTRÍA: EN EL SEMESTRE 2022-1  DICTARÁ &quot;LITERATURAS, CONTRASTES,TENSIONES&quot; Y EN EL SEMESTRE 2022-2 DICTARÁ &quot;SEMINARIO DE TRABAJO DE GRADO&quot;  SERÁ DIRECTOR DE LÍNEA DE INVESTIGACIÓN, DIRECTOR DE PROYECTO DE INVESTIGACIÓN &quot;CARTOGRAFÍAS DEL CUENTO EN COLOMBIA, FASE 3&quot; Y DIRECTOR DE AL MENOS 4 PROYECTOS DE TRABAJO DE GRADO. NOMBRE: JULIO ALBERTO BEJARANO HERNÁNDEZ"/>
    <n v="2"/>
    <n v="10"/>
    <n v="10"/>
    <n v="15"/>
    <s v="CONTRATACIÓN DIRECTA"/>
    <x v="0"/>
    <n v="58482112"/>
    <s v="C-3302-1603-2-0-3302067"/>
    <n v="201891000290"/>
    <x v="0"/>
    <x v="0"/>
    <s v="EJECUTAR PROGRAMAS DE POSGRADO CON REGISTRO CALIFICADO VIGENTE"/>
    <s v="NO"/>
    <n v="0"/>
    <s v="N.A"/>
    <s v="GESTIÓN CONTRACTUAL"/>
    <s v="MARÍA OFELIA ROS MATTURRO"/>
    <n v="3422121"/>
  </r>
  <r>
    <n v="86101600"/>
    <s v="ACADÉMICA"/>
    <x v="0"/>
    <s v="FORMACIÓN"/>
    <s v="MAESTRÍA EN LITERATURA Y CULTURA"/>
    <s v="CONTRATACIÓN DE UN DOCENTE INVESTIGADOR QUE DICTARÁ DOS CURSOS DE LA MAESTRÍA: EN EL  SEMESTRE 2022-1  DICTARÁ &quot;TALLER DE METODOLOGÍA DE INVESTIGACIÓN B&quot; Y EN EL SEMESTRE 2022-2 DICTARÁ &quot;SEMINARIO DE TRABAJO DE GRADO&quot;, SERÁ DIRECTOR DE PROYECTO DE INVESTIGACIÓN &quot;POESÍA EN MOVIMIENTO&quot;, FASE 3 Y DIRECTOR DE 4 TRABAJOS DE GRADO. NOMBRE: GUILLERMO MOLINA MORALES."/>
    <n v="2"/>
    <n v="10"/>
    <n v="10"/>
    <n v="15"/>
    <s v="CONTRATACIÓN DIRECTA"/>
    <x v="0"/>
    <n v="52633901"/>
    <s v="C-3302-1603-2-0-3302067"/>
    <n v="201891000290"/>
    <x v="0"/>
    <x v="0"/>
    <s v="EJECUTAR PROGRAMAS DE POSGRADO CON REGISTRO CALIFICADO VIGENTE"/>
    <s v="NO"/>
    <n v="0"/>
    <s v="N.A"/>
    <s v="GESTIÓN CONTRACTUAL"/>
    <s v="MARÍA OFELIA ROS MATTURRO"/>
    <n v="3422121"/>
  </r>
  <r>
    <n v="86101600"/>
    <s v="ACADÉMICA"/>
    <x v="0"/>
    <s v="FORMACIÓN"/>
    <s v="MAESTRÍA EN LITERATURA Y CULTURA"/>
    <s v="CONTRATACIÓN DE UN DOCENTE INVESTIGADOR QUE DICTARÁ DOS CURSOS DE LA MAESTRÍA: EN EL SEMESTRE 2022-1 DICTARÁ &quot;ELECTIVA IV&quot; Y EN EL SEGUNDO SEMESTRE DICTARÁ &quot;SEMINARIO DE TRABAJO DE GRADO&quot;. SERÁ DIRECTORA DEL PROYECTO DE INVESTIGACIÓN &quot;TEXTUALIDADES DESDE TRES PUNTOS CARDINALES: AGENCIAS Y REPRESENTACIONES DE PERTENENCIA COLECTIVA&quot;. NOMBRE: ADRIANA CAMPOS UMBARILA."/>
    <n v="2"/>
    <n v="2"/>
    <n v="10"/>
    <n v="15"/>
    <s v="CONTRATACIÓN DIRECTA"/>
    <x v="0"/>
    <n v="52633901"/>
    <s v="C-3302-1603-2-0-3302067"/>
    <n v="201891000290"/>
    <x v="0"/>
    <x v="0"/>
    <s v="EJECUTAR PROGRAMAS DE POSGRADO CON REGISTRO CALIFICADO VIGENTE"/>
    <s v="NO"/>
    <n v="0"/>
    <s v="N.A"/>
    <s v="GESTIÓN CONTRACTUAL"/>
    <s v="MARÍA OFELIA ROS MATTURRO"/>
    <n v="3422121"/>
  </r>
  <r>
    <n v="86101600"/>
    <s v="ACADÉMICA"/>
    <x v="0"/>
    <s v="FORMACIÓN"/>
    <s v="MAESTRÍA EN ENSEÑANZA DE ESPAÑOL COMO LENGUA EXTRANJERA Y SEGUNDA LENGUA"/>
    <s v="COORDINADOR MAESTRÍA ELE/L2 + COORDINADOR EDITORIAL SERIE ELE/2+COORDINADOR DIPLOMADO ICC-INSOR+COORDINADOR CURSO DE VERANO+DOCENTE CURSO DE VERANO"/>
    <n v="1"/>
    <n v="1"/>
    <n v="11"/>
    <n v="0"/>
    <s v="CONTRATACIÓN DIRECTA"/>
    <x v="0"/>
    <n v="82790370"/>
    <s v="C-3302-1603-2-0-3302067"/>
    <n v="201891000290"/>
    <x v="0"/>
    <x v="0"/>
    <s v="EJECUTAR PROGRAMAS DE POSGRADO CON REGISTRO CALIFICADO VIGENTE"/>
    <s v="NO"/>
    <n v="0"/>
    <s v="N.A"/>
    <s v="GESTIÓN CONTRACTUAL"/>
    <s v="MARÍA OFELIA ROS MATTURRO"/>
    <n v="3422121"/>
  </r>
  <r>
    <n v="86101600"/>
    <s v="ACADÉMICA"/>
    <x v="0"/>
    <s v="FORMACIÓN"/>
    <s v="MAESTRÍA EN ENSEÑANZA DE ESPAÑOL COMO LENGUA EXTRANJERA Y SEGUNDA LENGUA"/>
    <s v="DOCENTE-INVESTIGADOR MAESTRÍA ELE/L2+LÍDER DE LÍNEA+DIRECTOR DE PROYECTO+ENCARGADO DE ESCRIBIR DOCUMENTO MAESTRO DOCTORADO FSAB+APOYO A VISITA DE PARES MAESTRÍA ELE/L2 REGISTRO ÚNICO"/>
    <n v="2"/>
    <n v="2"/>
    <n v="10"/>
    <n v="15"/>
    <s v="CONTRATACIÓN DIRECTA"/>
    <x v="0"/>
    <n v="70841031"/>
    <s v="C-3302-1603-2-0-3302067"/>
    <n v="201891000290"/>
    <x v="0"/>
    <x v="0"/>
    <s v="EJECUTAR PROGRAMAS DE POSGRADO CON REGISTRO CALIFICADO VIGENTE"/>
    <s v="NO"/>
    <n v="0"/>
    <s v="N.A"/>
    <s v="GESTIÓN CONTRACTUAL"/>
    <s v="MARÍA OFELIA ROS MATTURRO"/>
    <n v="3422121"/>
  </r>
  <r>
    <n v="86101600"/>
    <s v="ACADÉMICA"/>
    <x v="0"/>
    <s v="FORMACIÓN"/>
    <s v="MAESTRÍA EN ENSEÑANZA DE ESPAÑOL COMO LENGUA EXTRANJERA Y SEGUNDA LENGUA"/>
    <s v="DOCENTE-INVESTIGADOR MAESTRÍA ELE/L2+DIRECTOR DE PROYECTO+CREACIÓN DE CONTENIDOS DE 2 CURSOS DE MAESTRÍA ELE/2 VIRTUAL"/>
    <n v="2"/>
    <n v="2"/>
    <n v="10"/>
    <n v="15"/>
    <s v="CONTRATACIÓN DIRECTA"/>
    <x v="0"/>
    <n v="58633906"/>
    <s v="C-3302-1603-2-0-3302067"/>
    <n v="201891000290"/>
    <x v="0"/>
    <x v="0"/>
    <s v="EJECUTAR PROGRAMAS DE POSGRADO CON REGISTRO CALIFICADO VIGENTE"/>
    <s v="NO"/>
    <n v="0"/>
    <s v="N.A"/>
    <s v="GESTIÓN CONTRACTUAL"/>
    <s v="MARÍA OFELIA ROS MATTURRO"/>
    <n v="3422121"/>
  </r>
  <r>
    <n v="86101600"/>
    <s v="ACADÉMICA"/>
    <x v="0"/>
    <s v="FORMACIÓN"/>
    <s v="MAESTRÍA EN ENSEÑANZA DE ESPAÑOL COMO LENGUA EXTRANJERA Y SEGUNDA LENGUA"/>
    <s v="DOCENTE-INVESTIGADOR MAESTRÍA ELE/L2+DIRECTOR DE PROYECTO+TUTORA DIPLOMADO ELE VIRTUAL (144 HORAS)+DOCENTE CURSO DE VERANO (10 HORAS)"/>
    <n v="2"/>
    <n v="2"/>
    <n v="10"/>
    <n v="15"/>
    <s v="CONTRATACIÓN DIRECTA"/>
    <x v="0"/>
    <n v="26454797"/>
    <s v="C-3302-1603-2-0-3302067"/>
    <n v="201891000290"/>
    <x v="0"/>
    <x v="0"/>
    <s v="EJECUTAR PROGRAMAS DE POSGRADO CON REGISTRO CALIFICADO VIGENTE"/>
    <s v="NO"/>
    <n v="0"/>
    <s v="N.A"/>
    <s v="GESTIÓN CONTRACTUAL"/>
    <s v="MARÍA OFELIA ROS MATTURRO"/>
    <n v="3422121"/>
  </r>
  <r>
    <n v="86101600"/>
    <s v="ACADÉMICA"/>
    <x v="0"/>
    <s v="FORMACIÓN"/>
    <s v="MAESTRÍA EN ENSEÑANZA DE ESPAÑOL COMO LENGUA EXTRANJERA Y SEGUNDA LENGUA"/>
    <s v="DOCENTE-INVESTIGADOR MAESTRÍA ELE/L2+DIRECTOR DE PROYECTO+TUTOR DIPLOMADO ICC-INSOR (50 HORAS)+CREACIÓN DE CONTENIDOS DE 1 CURSO DE MAESTRÍA ELE/2 VIRTUAL"/>
    <n v="2"/>
    <n v="2"/>
    <n v="10"/>
    <n v="15"/>
    <s v="CONTRATACIÓN DIRECTA"/>
    <x v="0"/>
    <n v="52035690"/>
    <s v="C-3302-1603-2-0-3302067"/>
    <n v="201891000290"/>
    <x v="0"/>
    <x v="0"/>
    <s v="EJECUTAR PROGRAMAS DE POSGRADO CON REGISTRO CALIFICADO VIGENTE"/>
    <s v="NO"/>
    <n v="0"/>
    <s v="N.A"/>
    <s v="GESTIÓN CONTRACTUAL"/>
    <s v="MARÍA OFELIA ROS MATTURRO"/>
    <n v="3422121"/>
  </r>
  <r>
    <n v="86101600"/>
    <s v="ACADÉMICA"/>
    <x v="0"/>
    <s v="FORMACIÓN"/>
    <s v="MAESTRÍA EN ENSEÑANZA DE ESPAÑOL COMO LENGUA EXTRANJERA Y SEGUNDA LENGUA"/>
    <s v="DOCENTE-INVESTIGADOR MAESTRÍA ELE/L2+ COORDINADOR CURSOS DE ESPAÑOL PARA EXTRANJEROS+CURSO DE FORMACIÓN PRÁCTICA DE PROFESORES DE ELE (64 HORAS) +CURSO DOCENTE CURSO DE VERANO (10 HORAS)"/>
    <n v="1"/>
    <n v="1"/>
    <n v="11"/>
    <n v="0"/>
    <s v="CONTRATACIÓN DIRECTA"/>
    <x v="0"/>
    <n v="61457443"/>
    <s v="C-3302-1603-2-0-3302067"/>
    <n v="201891000290"/>
    <x v="0"/>
    <x v="0"/>
    <s v="EJECUTAR PROGRAMAS DE POSGRADO CON REGISTRO CALIFICADO VIGENTE"/>
    <s v="NO"/>
    <n v="0"/>
    <s v="N.A"/>
    <s v="GESTIÓN CONTRACTUAL"/>
    <s v="MARÍA OFELIA ROS MATTURRO"/>
    <n v="3422121"/>
  </r>
  <r>
    <n v="86101600"/>
    <s v="ACADÉMICA"/>
    <x v="0"/>
    <s v="FORMACIÓN"/>
    <s v="MAESTRÍA EN ENSEÑANZA DE ESPAÑOL COMO LENGUA EXTRANJERA Y SEGUNDA LENGUA"/>
    <s v="DOCENTE-INVESTIGADOR MAESTRIA ELE/L2+DIRECTOR DE PROYECTO+DOCENTE DIPLOMADO ELE REMOTO (30 HORAS POR 1 MÓDULO)+CREACIÓN DE CONTENIDOS DE 2 CURSOS DE MAESTRÍA ELE/2 VIRTUAL"/>
    <n v="2"/>
    <n v="2"/>
    <n v="10"/>
    <n v="15"/>
    <s v="CONTRATACIÓN DIRECTA"/>
    <x v="0"/>
    <n v="46785690"/>
    <s v="C-3302-1603-2-0-3302067"/>
    <n v="201891000290"/>
    <x v="0"/>
    <x v="0"/>
    <s v="EJECUTAR PROGRAMAS DE POSGRADO CON REGISTRO CALIFICADO VIGENTE"/>
    <s v="NO"/>
    <n v="0"/>
    <s v="N.A"/>
    <s v="GESTIÓN CONTRACTUAL"/>
    <s v="MARÍA OFELIA ROS MATTURRO"/>
    <n v="3422121"/>
  </r>
  <r>
    <n v="86101601"/>
    <s v="ACADÉMICA"/>
    <x v="0"/>
    <s v="FORMACIÓN"/>
    <s v="MAESTRÍA EN ENSEÑANZA DE ESPAÑOL COMO LENGUA EXTRANJERA Y SEGUNDA LENGUA"/>
    <s v="DOCENTE-INVESTIGADOR MAESTRIA ELE/L2+DIRECTOR DE PROYECTO+CREACIÓN DE CONTENIDOS DE 1 CURSO DE MAESTRÍA ELE/2 VIRTUAL"/>
    <n v="2"/>
    <n v="2"/>
    <n v="10"/>
    <n v="15"/>
    <s v="CONTRATACIÓN DIRECTA"/>
    <x v="0"/>
    <n v="29871414"/>
    <s v="C-3302-1603-2-0-3302067"/>
    <n v="201891000290"/>
    <x v="0"/>
    <x v="0"/>
    <s v="EJECUTAR PROGRAMAS DE POSGRADO CON REGISTRO CALIFICADO VIGENTE"/>
    <s v="NO"/>
    <n v="0"/>
    <s v="N.A"/>
    <s v="GESTIÓN CONTRACTUAL"/>
    <s v="MARÍA OFELIA ROS MATTURRO"/>
    <n v="3422121"/>
  </r>
  <r>
    <n v="81111500"/>
    <s v="ACADÉMICA"/>
    <x v="0"/>
    <s v="FORMACIÓN"/>
    <s v="FACULTAD"/>
    <s v="CONTRATACIÓN DE UN INGENIERO PARA LA ADMINISTRACIÓN DE LA PLATAFORMA DE GESTIÓN ACADÉMICA Y ADMINISTRATIVA ACADEMUSOFT Y GESTIÓN DE LA INFORMACIÓN AL SNIES DE LAS VARIABLES POBLACIONAL Y ACADÉMICA"/>
    <n v="1"/>
    <n v="1"/>
    <n v="11"/>
    <n v="15"/>
    <s v="CONTRATACIÓN DIRECTA"/>
    <x v="0"/>
    <n v="41046073"/>
    <s v="C-3399-1603-4-0-3399061"/>
    <n v="201891000284"/>
    <x v="2"/>
    <x v="9"/>
    <s v=" ADAPTAR EL MODELO INTEGRADO DE PLANEACIÓN Y GESTIÓN AL INSTITUTO "/>
    <s v="NO"/>
    <n v="0"/>
    <s v="N.A"/>
    <s v="GESTIÓN CONTRACTUAL"/>
    <s v="MARÍA OFELIA ROS MATTURRO"/>
    <n v="3422121"/>
  </r>
  <r>
    <n v="81111500"/>
    <s v="ACADÉMICA"/>
    <x v="0"/>
    <s v="FORMACIÓN"/>
    <s v="FACULTAD"/>
    <s v="CONTRATACIÓN DE UN INGENIERO PARA LA ADMINISTRACIÓN DE LA PLATAFORMA DE GESTIÓN ACADÉMICA Y ADMINISTRATIVA ACADEMUSOFT Y GESTIÓN DE LA INFORMACIÓN AL SNIES DE LAS VARIABLES POBLACIONAL Y ACADÉMICA"/>
    <n v="1"/>
    <n v="1"/>
    <n v="11"/>
    <n v="15"/>
    <s v="CONTRATACIÓN DIRECTA"/>
    <x v="0"/>
    <n v="16295572"/>
    <s v="C-3302-1603-2-0-3302067"/>
    <n v="201891000290"/>
    <x v="0"/>
    <x v="0"/>
    <s v="EJECUTAR PROGRAMAS DE POSGRADO CON REGISTRO CALIFICADO VIGENTE"/>
    <s v="NO"/>
    <n v="0"/>
    <s v="N.A"/>
    <s v="GESTIÓN CONTRACTUAL"/>
    <s v="MARÍA OFELIA ROS MATTURRO"/>
    <n v="3422121"/>
  </r>
  <r>
    <n v="86141501"/>
    <s v="ACADÉMICA"/>
    <x v="0"/>
    <s v="FORMACIÓN"/>
    <s v="FACULTAD"/>
    <s v="UN PROFESIONAL PARA LA IMPLEMENTACIÓN DEL MODELO DE AUTOEVALUACIÓN PARA LOS PROGRAMAS DE MAESTRÍAS  Y RENOVACIÓN DE LOS REGISTROS CALIFICADOS DE LOS PROGRAMAS DE MAESTRÍA"/>
    <n v="2"/>
    <n v="2"/>
    <n v="10"/>
    <n v="10"/>
    <s v="CONTRATACIÓN DIRECTA"/>
    <x v="0"/>
    <n v="65252480"/>
    <s v="C-3302-1603-2-0-3302067"/>
    <n v="201891000290"/>
    <x v="0"/>
    <x v="0"/>
    <s v="EJECUTAR PROGRAMAS DE POSGRADO CON REGISTRO CALIFICADO VIGENTE"/>
    <s v="NO"/>
    <n v="0"/>
    <s v="N.A"/>
    <s v="GESTIÓN CONTRACTUAL"/>
    <s v="MARÍA OFELIA ROS MATTURRO"/>
    <n v="3422121"/>
  </r>
  <r>
    <n v="80161504"/>
    <s v="ACADÉMICA"/>
    <x v="0"/>
    <s v="FORMACIÓN"/>
    <s v="FACULTAD"/>
    <s v="LOGISTICA"/>
    <n v="1"/>
    <n v="1"/>
    <n v="11"/>
    <n v="0"/>
    <s v="CONTRATACIÓN DIRECTA"/>
    <x v="1"/>
    <n v="15000000"/>
    <s v="C-3302-1603-2-0-3302070"/>
    <n v="201891000290"/>
    <x v="0"/>
    <x v="1"/>
    <s v="REALIZAR ACTIVIDADES DE CONSOLIDACIÓN ACADÉMICA"/>
    <s v="NO"/>
    <n v="0"/>
    <s v="N.A"/>
    <s v="GESTIÓN CONTRACTUAL"/>
    <s v="MARÍA OFELIA ROS MATTURRO"/>
    <n v="3422121"/>
  </r>
  <r>
    <n v="78111503"/>
    <s v="ACADÉMICA"/>
    <x v="0"/>
    <s v="FORMACIÓN"/>
    <s v="FACULTAD"/>
    <s v="MOVILIDAD DECANATURA LASA 2022"/>
    <n v="2"/>
    <n v="2"/>
    <n v="1"/>
    <n v="0"/>
    <s v="CONTRATACIÓN DIRECTA"/>
    <x v="1"/>
    <n v="6000000"/>
    <s v="C-3302-1603-2-0-3302070"/>
    <n v="201891000290"/>
    <x v="0"/>
    <x v="1"/>
    <s v="REALIZAR ACTIVIDADES DE CONSOLIDACIÓN ACADÉMICA"/>
    <s v="NO"/>
    <n v="0"/>
    <s v="N.A"/>
    <s v="GESTIÓN CONTRACTUAL"/>
    <s v="MARÍA OFELIA ROS MATTURRO"/>
    <n v="3422121"/>
  </r>
  <r>
    <n v="80161504"/>
    <s v="ACADÉMICA"/>
    <x v="0"/>
    <s v="FORMACIÓN"/>
    <s v="BIENESTAR"/>
    <s v="PROFESIONAL ENCARGADO DE BIENESTAR"/>
    <n v="1"/>
    <n v="1"/>
    <n v="11"/>
    <n v="0"/>
    <s v="CONTRATACIÓN DIRECTA"/>
    <x v="0"/>
    <n v="65252484"/>
    <s v="C-3302-1603-2-0-3302067"/>
    <n v="201891000290"/>
    <x v="0"/>
    <x v="0"/>
    <s v="EJECUTAR PROGRAMAS DE POSGRADO CON REGISTRO CALIFICADO VIGENTE"/>
    <s v="NO"/>
    <n v="0"/>
    <s v="N.A"/>
    <s v="GESTIÓN CONTRACTUAL"/>
    <s v="MARÍA OFELIA ROS MATTURRO"/>
    <n v="3422121"/>
  </r>
  <r>
    <n v="85121608"/>
    <s v="ACADÉMICA"/>
    <x v="0"/>
    <s v="FORMACIÓN"/>
    <s v="BIENESTAR"/>
    <s v="SERVICIO PSICOLÓGICO FACULTAD + 2 TALLERES BIENESTAR EMOCIONAL (DESARROLLO HUMANO)"/>
    <n v="2"/>
    <n v="2"/>
    <n v="10"/>
    <n v="0"/>
    <s v="CONTRATACIÓN DIRECTA"/>
    <x v="0"/>
    <n v="42408190"/>
    <s v="C-3302-1603-2-0-3302067"/>
    <n v="201891000290"/>
    <x v="0"/>
    <x v="0"/>
    <s v="EJECUTAR PROGRAMAS DE POSGRADO CON REGISTRO CALIFICADO VIGENTE"/>
    <s v="NO"/>
    <n v="0"/>
    <s v="N.A"/>
    <s v="GESTIÓN CONTRACTUAL"/>
    <s v="MARÍA OFELIA ROS MATTURRO"/>
    <n v="3422121"/>
  </r>
  <r>
    <n v="86101600"/>
    <s v="ACADÉMICA"/>
    <x v="0"/>
    <s v="FORMACIÓN"/>
    <s v="BIENESTAR"/>
    <s v="SEGURO ESTUDIANTIL (ATENCIÓN Y PREVENCIÓN EN SALUD)"/>
    <n v="2"/>
    <n v="2"/>
    <n v="11"/>
    <n v="0"/>
    <s v="CONTRATACIÓN DIRECTA"/>
    <x v="1"/>
    <n v="4000000"/>
    <s v="C-3302-1603-2-0-3302067"/>
    <n v="201891000290"/>
    <x v="0"/>
    <x v="0"/>
    <s v="EJECUTAR PROGRAMAS DE POSGRADO CON REGISTRO CALIFICADO VIGENTE"/>
    <s v="NO"/>
    <n v="0"/>
    <s v="N.A"/>
    <s v="GESTIÓN CONTRACTUAL"/>
    <s v="MARÍA OFELIA ROS MATTURRO"/>
    <n v="3422121"/>
  </r>
  <r>
    <n v="80101507"/>
    <s v="DIRECCIÓN GENERAL"/>
    <x v="9"/>
    <s v="DIRECCIONAMIENTO ESTRATÉGICO"/>
    <s v="OFICIAL DE SEGURIDAD DE LA INFORMACIÓN"/>
    <s v="CONTRATACIÓN PARA LA PRESTACIÓN DE SERVICIOS PROFESIONALES EN EL GRUPO DE PLANEACIÓN  PARA LA ORIENTACIÓN E IMPLEMENTACIÓN DEL MODELO DE SEGURIDAD Y PRIVACIDAD DE LA INFORMACIÓN (MSPI) ALINEADO CON EL MARCO DE REFERENCIA DE ARQUITECTURA TI Y EL MODELO INTEGRADO DE PLANEACIÓN Y GESTIÓN (MIPG)"/>
    <n v="1"/>
    <n v="1"/>
    <n v="10"/>
    <n v="1"/>
    <s v="CONTRATACIÓN DIRECTA"/>
    <x v="0"/>
    <n v="45000000"/>
    <s v="C-3399-1603-4-0-3399056"/>
    <n v="201891000284"/>
    <x v="2"/>
    <x v="8"/>
    <s v=" DISEÑAR HERRAMIENTAS PARA ORIENTAR LA PLANEACIÓN INSTITUCIONAL "/>
    <s v="NO"/>
    <n v="0"/>
    <s v="N.A"/>
    <s v="GESTIÓN CONTRACTUAL"/>
    <s v="CRISTIAN ARMANDO VELANDIA "/>
    <n v="3422121"/>
  </r>
  <r>
    <n v="80101508"/>
    <s v="DIRECCIÓN GENERAL"/>
    <x v="9"/>
    <s v="DIRECCIONAMIENTO ESTRATÉGICO"/>
    <s v="METODOLOGIAS DE PLANEACIÓN INSTITUCIONAL"/>
    <s v="CONTRATACIÓN PARA LA PRESTACIÓN DE SERVICIOS PROFESIONALES EN EL GRUPO DE PLANEACIÓN  PARA LA ORIENTACIÓN E IMPLEMENTACIÓN DE  LOS INDICADORES DE GESTIÓN"/>
    <n v="1"/>
    <n v="1"/>
    <n v="2"/>
    <n v="1"/>
    <s v="CONTRATACIÓN DIRECTA"/>
    <x v="0"/>
    <n v="9000000"/>
    <s v="C-3399-1603-4-0-3399061"/>
    <n v="201891000284"/>
    <x v="2"/>
    <x v="9"/>
    <s v=" ADAPTAR EL MODELO INTEGRADO DE PLANEACIÓN Y GESTIÓN AL INSTITUTO "/>
    <s v="NO"/>
    <n v="0"/>
    <s v="N.A"/>
    <s v="GESTIÓN CONTRACTUAL"/>
    <s v="CRISTIAN ARMANDO VELANDIA "/>
    <n v="3422121"/>
  </r>
  <r>
    <s v="77101700; 80101604; 80101509"/>
    <s v="DIRECCIÓN GENERAL"/>
    <x v="10"/>
    <s v="GESTIÓN ADMINISTRATIVA"/>
    <s v="PIGA - PEMP"/>
    <s v="PRESTAR LOS SERVICIOS PROFESIONALES PARA EJECUTAR EL PLAN INSTITUCIONAL DE GESTIÓN AMBIENTAL –PIGA- Y SOCIALIZAR LA GESTIÓN DEL PLAN DE MANEJO Y PROTECCIÓN –PEMP- DE LA HACIENDA YERBABUENA"/>
    <n v="1"/>
    <n v="1"/>
    <n v="7"/>
    <n v="1"/>
    <s v="CONTRATACIÓN DIRECTA"/>
    <x v="1"/>
    <n v="23104109"/>
    <s v="C-3399-1603-4-0-3399016-2"/>
    <n v="2018011000284"/>
    <x v="2"/>
    <x v="6"/>
    <s v=" REALIZAR MANTENIMIENTO A ELEMENTOS NO ESTRUCTURALES DE LAS SEDES "/>
    <s v="NO"/>
    <n v="0"/>
    <s v="N.A"/>
    <s v="GESTIÓN CONTRACTUAL"/>
    <s v="MARÍA DEL ROSARIO BARROS PIMIENTA / ANDREA CARDOZO"/>
    <n v="3422121"/>
  </r>
  <r>
    <s v="77101700; 80101604; 80101510"/>
    <s v="DIRECCIÓN GENERAL"/>
    <x v="10"/>
    <s v="GESTIÓN ADMINISTRATIVA"/>
    <s v="PIGA - PEMP"/>
    <s v="PRESTAR LOS SERVICIOS PROFESIONALES PARA EJECUTAR EL PLAN INSTITUCIONAL DE GESTIÓN AMBIENTAL –PIGA- Y SOCIALIZAR LA GESTIÓN DEL PLAN DE MANEJO Y PROTECCIÓN –PEMP- DE LA HACIENDA YERBABUENA"/>
    <n v="1"/>
    <n v="1"/>
    <n v="7"/>
    <n v="1"/>
    <s v="CONTRATACIÓN DIRECTA"/>
    <x v="0"/>
    <n v="25895891"/>
    <s v="C-3399-1603-4-0-3399016"/>
    <n v="201891000284"/>
    <x v="2"/>
    <x v="6"/>
    <s v=" REALIZAR MANTENIMIENTO A ELEMENTOS NO ESTRUCTURALES DE LAS SEDES "/>
    <s v="NO"/>
    <n v="0"/>
    <s v="N.A"/>
    <s v="GESTIÓN CONTRACTUAL"/>
    <s v="MARÍA DEL ROSARIO BARROS PIMIENTA / ANDREA CARDOZO"/>
    <n v="3422121"/>
  </r>
  <r>
    <n v="81112307"/>
    <s v="DIRECCIÓN GENERAL"/>
    <x v="11"/>
    <s v="GESTIÓN DE TECNOLOGÍAS DE LA INFORMACIÓN Y LAS COMUNICACIONES"/>
    <s v="MANTENIMIENTO Y SOPORTE DE HARDWARE DE COMPUTADOR"/>
    <s v="CONTRATACION DE UN TECNOLOGO EN SISTEMAS O AFINES PARA EL DESARROLLO DE ACTIVIDADES RELACIONADAS CON SOPORTE TÉCNICO, SOPORTE TECNOLÓGICO A USUARIOS, SISTEMAS DE INFORMACIÓN Y EQUIPOS DEL INSTITUTO CARO Y CUERVO"/>
    <n v="1"/>
    <n v="1"/>
    <n v="10"/>
    <m/>
    <s v="CONTRATACIÓN DIRECTA"/>
    <x v="0"/>
    <n v="22278900"/>
    <s v="C-3399-1603-4-0-3399061"/>
    <n v="201891000284"/>
    <x v="2"/>
    <x v="9"/>
    <s v=" ADAPTAR EL MODELO INTEGRADO DE PLANEACIÓN Y GESTIÓN AL INSTITUTO "/>
    <s v="NO"/>
    <n v="0"/>
    <s v="N.A"/>
    <s v="GESTIÓN CONTRACTUAL"/>
    <s v="JULIO BERNAL"/>
    <n v="3422121"/>
  </r>
  <r>
    <n v="81112307"/>
    <s v="DIRECCIÓN GENERAL"/>
    <x v="11"/>
    <s v="GESTIÓN DE TECNOLOGÍAS DE LA INFORMACIÓN Y LAS COMUNICACIONES"/>
    <s v="MANTENIMIENTO Y SOPORTE DE HARDWARE DE COMPUTADOR"/>
    <s v="CONTRATACION DE UN TECNOLOGO EN SISTEMAS O AFINES PARA EL DESARROLLO DE ACTIVIDADES RELACIONADAS CON SOPORTE TÉCNICO, SOPORTE TECNOLÓGICO A USUARIOS, SISTEMAS DE INFORMACIÓN Y EQUIPOS DEL INSTITUTO CARO Y CUERVO"/>
    <n v="1"/>
    <n v="1"/>
    <n v="10"/>
    <m/>
    <s v="CONTRATACIÓN DIRECTA"/>
    <x v="0"/>
    <n v="22278900"/>
    <s v="C-3399-1603-4-0-3399061"/>
    <n v="201891000284"/>
    <x v="2"/>
    <x v="9"/>
    <s v=" ADAPTAR EL MODELO INTEGRADO DE PLANEACIÓN Y GESTIÓN AL INSTITUTO "/>
    <s v="NO"/>
    <n v="0"/>
    <s v="N.A"/>
    <s v="GESTIÓN CONTRACTUAL"/>
    <s v="HEILIN GUARNIZO"/>
    <n v="3422121"/>
  </r>
  <r>
    <s v="81111603; 81111602; 81111507"/>
    <s v="DIRECCIÓN GENERAL"/>
    <x v="11"/>
    <s v="GESTIÓN DE TECNOLOGÍAS DE LA INFORMACIÓN Y LAS COMUNICACIONES"/>
    <s v="PROGRAMADORES DE COMPUTADOR"/>
    <s v="CONTRATACIÓN DE UN TÉCNICO O TECNÓLOGO EN SISTEMAS O AFINES PARA APOYAR EL DESARROLLO DE NUEVOS SISTEMAS DE BASE DE DATOS DE LA ENTIDAD, APOYO EN LA PARTE MISIONAL Y ESTRATÉGICO DEL INSTITUTO CARO Y CUERVO"/>
    <n v="1"/>
    <n v="1"/>
    <n v="11"/>
    <m/>
    <s v="CONTRATACIÓN DIRECTA"/>
    <x v="0"/>
    <n v="40356184"/>
    <s v="C-3399-1603-4-0-3399061"/>
    <n v="201891000284"/>
    <x v="2"/>
    <x v="9"/>
    <s v=" ADAPTAR EL MODELO INTEGRADO DE PLANEACIÓN Y GESTIÓN AL INSTITUTO "/>
    <s v="NO"/>
    <n v="0"/>
    <s v="N.A"/>
    <s v="GESTIÓN CONTRACTUAL"/>
    <s v="HEILIN GUARNIZO"/>
    <n v="3422121"/>
  </r>
  <r>
    <n v="81111603"/>
    <s v="DIRECCIÓN GENERAL"/>
    <x v="11"/>
    <s v="GESTIÓN DE TECNOLOGÍAS DE LA INFORMACIÓN Y LAS COMUNICACIONES"/>
    <s v="PROGRAMADORES DE COMPUTADOR"/>
    <s v="CONTRATACIÓN DE UN TECNÓLOGO DE SISTEMAS PARA EL DESARROLLO DE PLATAFORMAS WEB NUEVAS Y EXISTENTES DEL INSTITUTO CARO Y CUERVO Y LAS PLATAFORMAS DE LAS LÍNEAS DE LINGÜÍSTICA DE CORPUS Y COMPUTACIONAL"/>
    <n v="1"/>
    <n v="1"/>
    <n v="10"/>
    <m/>
    <s v="CONTRATACIÓN DIRECTA"/>
    <x v="0"/>
    <n v="19927757"/>
    <s v="C-3399-1603-4-0-3399061"/>
    <n v="201891000284"/>
    <x v="2"/>
    <x v="9"/>
    <s v=" ADAPTAR EL MODELO INTEGRADO DE PLANEACIÓN Y GESTIÓN AL INSTITUTO "/>
    <s v="NO"/>
    <n v="0"/>
    <s v="N.A"/>
    <s v="GESTIÓN CONTRACTUAL"/>
    <s v="HEILIN GUARNIZO"/>
    <n v="3422121"/>
  </r>
  <r>
    <n v="81111600"/>
    <s v="DIRECCIÓN GENERAL"/>
    <x v="11"/>
    <s v="GESTIÓN DE TECNOLOGÍAS DE LA INFORMACIÓN Y LAS COMUNICACIONES"/>
    <s v="PROGRAMADORES DE COMPUTADOR"/>
    <s v="CONTRATACIÓN DE UN PROFESIONAL CON PERFIL DE ANALISTA DESARROLLADOR WEB DE SISTEMAS PARA MANTENER Y CREAR NUEVOS PORTALES WEB REQUERIDOS POR EL INSTITUTO CARO Y CUERVO "/>
    <n v="1"/>
    <n v="1"/>
    <n v="10"/>
    <m/>
    <s v="CONTRATACIÓN DIRECTA"/>
    <x v="0"/>
    <n v="39000000"/>
    <s v="C-3399-1603-4-0-3399061"/>
    <n v="201891000284"/>
    <x v="2"/>
    <x v="9"/>
    <s v=" ADAPTAR EL MODELO INTEGRADO DE PLANEACIÓN Y GESTIÓN AL INSTITUTO "/>
    <s v="NO"/>
    <n v="0"/>
    <s v="N.A"/>
    <s v="GESTIÓN CONTRACTUAL"/>
    <s v="HEILIN GUARNIZO"/>
    <n v="3422121"/>
  </r>
  <r>
    <n v="81111802"/>
    <s v="DIRECCIÓN GENERAL"/>
    <x v="11"/>
    <s v="GESTIÓN DE TECNOLOGÍAS DE LA INFORMACIÓN Y LAS COMUNICACIONES"/>
    <s v="SERVICIOS DE ADMINISTRACIÓN DE LA UNIDAD CENTRAL"/>
    <s v="CONTRATACIÓN DE UN INGENIERO DE SISTEMAS CON PERFIL DE GESTIÓN DE INFRAESTRUCTURA TECNOLOGÍCA FÍSICA Y VIRTUAL PARA EL ICC"/>
    <n v="1"/>
    <n v="1"/>
    <n v="10"/>
    <m/>
    <s v="CONTRATACIÓN DIRECTA"/>
    <x v="0"/>
    <n v="51581230"/>
    <s v="C-3399-1603-4-0-3399061"/>
    <n v="201891000284"/>
    <x v="2"/>
    <x v="9"/>
    <s v=" ADAPTAR EL MODELO INTEGRADO DE PLANEACIÓN Y GESTIÓN AL INSTITUTO "/>
    <s v="NO"/>
    <n v="0"/>
    <s v="N.A"/>
    <s v="GESTIÓN CONTRACTUAL"/>
    <s v="HEILIN GUARNIZO"/>
    <n v="3422121"/>
  </r>
  <r>
    <s v="82141505; 82141504"/>
    <s v="DIRECCIÓN GENERAL"/>
    <x v="11"/>
    <s v="GESTIÓN DE TECNOLOGÍAS DE LA INFORMACIÓN Y LAS COMUNICACIONES"/>
    <s v="SERVICIOS DE DISEÑO DE SITIOS WEB"/>
    <s v="PRESTACIÓN DE SERVICIOS PROFESIONALES PARA DISEÑO, MANTENIMIENTO Y CREACIÓN DE MATERIAL GRÁFICO DE LOS SITIOS WEB Y LA IMAGEN DIGITAL DEL ICC"/>
    <n v="1"/>
    <n v="1"/>
    <n v="8"/>
    <m/>
    <s v="CONTRATACIÓN DIRECTA"/>
    <x v="0"/>
    <n v="23140526"/>
    <s v="C-3302-1603-2-0-3302070"/>
    <n v="201891000290"/>
    <x v="0"/>
    <x v="1"/>
    <s v="REALIZAR ACTIVIDADES DE CONSOLIDACIÓN ACADÉMICA"/>
    <s v="NO"/>
    <n v="0"/>
    <s v="N.A"/>
    <s v="GESTIÓN CONTRACTUAL"/>
    <s v="HEILIN GUARNIZO"/>
    <n v="3422121"/>
  </r>
  <r>
    <s v="82141505; 82141504"/>
    <s v="DIRECCIÓN GENERAL"/>
    <x v="11"/>
    <s v="GESTIÓN DE TECNOLOGÍAS DE LA INFORMACIÓN Y LAS COMUNICACIONES"/>
    <s v="SERVICIOS DE DISEÑO DE SITIOS WEB"/>
    <s v="PRESTACIÓN DE SERVICIOS PROFESIONALES PARA DISEÑO, MANTENIMIENTO Y CREACIÓN DE MATERIAL GRÁFICO DE LOS SITIOS WEB Y LA IMAGEN DIGITAL DEL ICC"/>
    <n v="1"/>
    <n v="1"/>
    <m/>
    <m/>
    <s v="CONTRATACIÓN DIRECTA"/>
    <x v="0"/>
    <n v="8859474"/>
    <s v="C-3399-1603-4-0-3399061"/>
    <n v="201891000284"/>
    <x v="2"/>
    <x v="9"/>
    <s v=" ADAPTAR EL MODELO INTEGRADO DE PLANEACIÓN Y GESTIÓN AL INSTITUTO "/>
    <s v="NO"/>
    <n v="0"/>
    <s v="N.A"/>
    <s v="GESTIÓN CONTRACTUAL"/>
    <s v="HEILIN GUARNIZO"/>
    <n v="3422121"/>
  </r>
  <r>
    <s v="81111506; 81111612"/>
    <s v="DIRECCIÓN GENERAL"/>
    <x v="11"/>
    <s v="GESTIÓN DE TECNOLOGÍAS DE LA INFORMACIÓN Y LAS COMUNICACIONES"/>
    <s v="PROGRAMADORES DE COMPUTADOR"/>
    <s v="CONTRATACIÓN DE UN INGENIERO DE SISTEMAS O CARRERAS AFINES PARA LA GESTIÓN, MAQUETACIÓN Y PROGRAMACIÓN DE OBJETOS DE APRENDIZAJE DE LOS CURSOS VIRTUALES DEL ICC"/>
    <n v="1"/>
    <n v="1"/>
    <n v="11"/>
    <m/>
    <s v="CONTRATACIÓN DIRECTA"/>
    <x v="0"/>
    <n v="50252686"/>
    <s v="C-3302-1603-2-0-3302070"/>
    <n v="201891000290"/>
    <x v="0"/>
    <x v="1"/>
    <s v="REALIZAR ACTIVIDADES DE CONSOLIDACIÓN ACADÉMICA"/>
    <s v="NO"/>
    <n v="0"/>
    <s v="N.A"/>
    <s v="GESTIÓN CONTRACTUAL"/>
    <s v="HEILIN GUARNIZO"/>
    <n v="3422121"/>
  </r>
  <r>
    <s v="81111603; 81111602; 81111507"/>
    <s v="DIRECCIÓN GENERAL"/>
    <x v="11"/>
    <s v="GESTIÓN DE TECNOLOGÍAS DE LA INFORMACIÓN Y LAS COMUNICACIONES"/>
    <s v="PROGRAMADORES DE COMPUTADOR"/>
    <s v="CONTRATACIÓN DE UN PROFESIONAL EN INGENIERIA DE SISTEMAS DESARROLLADOR PARA LA IMPLEMENTACION DE LA NUEVA PAGINA WEB DEL INSTITUTO CARO Y CUERVO "/>
    <n v="1"/>
    <n v="1"/>
    <n v="8"/>
    <m/>
    <s v="CONTRATACIÓN DIRECTA"/>
    <x v="0"/>
    <n v="32000000"/>
    <s v="C-3302-1603-2-0-3302070"/>
    <n v="201891000290"/>
    <x v="0"/>
    <x v="1"/>
    <s v="REALIZAR ACTIVIDADES DE CONSOLIDACIÓN ACADÉMICA"/>
    <s v="NO"/>
    <n v="0"/>
    <s v="N.A"/>
    <s v="GESTIÓN CONTRACTUAL"/>
    <s v="HEILIN GUARNIZO"/>
    <n v="3422121"/>
  </r>
  <r>
    <n v="81111808"/>
    <s v="DIRECCIÓN GENERAL"/>
    <x v="11"/>
    <s v="GESTIÓN DE TECNOLOGÍAS DE LA INFORMACIÓN Y LAS COMUNICACIONES"/>
    <s v="SERVICIO DE NALISIS DE SISTEMAS"/>
    <s v="CONTRATACIÓN DE UN PROFESIONAL EN INGENIERIA DE SISTEMAS PARA ARQUITECTURA EMPRESARIAL, GOBIERNO DIGITAL Y LEVANTAMIENTO DE PROCESOS Y PROCEDIMIENTOS DEL AREA TIC"/>
    <n v="1"/>
    <n v="1"/>
    <n v="10"/>
    <m/>
    <s v="CONTRATACIÓN DIRECTA"/>
    <x v="0"/>
    <n v="28506916"/>
    <s v="C-3399-1603-4-0-3399056"/>
    <n v="201891000284"/>
    <x v="2"/>
    <x v="8"/>
    <s v=" DISEÑAR HERRAMIENTAS PARA ORIENTAR LA PLANEACIÓN INSTITUCIONAL "/>
    <s v="NO"/>
    <n v="0"/>
    <s v="N.A"/>
    <s v="GESTIÓN CONTRACTUAL"/>
    <s v="HEILIN GUARNIZO"/>
    <n v="3422121"/>
  </r>
  <r>
    <n v="81111808"/>
    <s v="DIRECCIÓN GENERAL"/>
    <x v="11"/>
    <s v="GESTIÓN DE TECNOLOGÍAS DE LA INFORMACIÓN Y LAS COMUNICACIONES"/>
    <s v="SERVICIO DE NALISIS DE SISTEMAS"/>
    <s v="CONTRATACIÓN DE UN PROFESIONAL EN INGENIERIA DE SISTEMAS PARA ARQUITECTURA EMPRESARIAL, GOBIERNO DIGITAL Y LEVANTAMIENTO DE PROCESOS Y PROCEDIMIENTOS DEL AREA TIC"/>
    <n v="1"/>
    <n v="1"/>
    <m/>
    <m/>
    <s v="CONTRATACIÓN DIRECTA"/>
    <x v="0"/>
    <n v="3493084"/>
    <s v="C-3302-1603-2-0-3302070"/>
    <n v="201891000290"/>
    <x v="0"/>
    <x v="1"/>
    <s v="REALIZAR ACTIVIDADES DE CONSOLIDACIÓN ACADÉMICA"/>
    <s v="NO"/>
    <n v="0"/>
    <s v="N.A"/>
    <s v="GESTIÓN CONTRACTUAL"/>
    <s v="HEILIN GUARNIZO"/>
    <n v="3422121"/>
  </r>
  <r>
    <s v="81111506; 81111612"/>
    <s v="DIRECCIÓN GENERAL"/>
    <x v="11"/>
    <s v="GESTIÓN DE TECNOLOGÍAS DE LA INFORMACIÓN Y LAS COMUNICACIONES"/>
    <s v="PROGRAMADORES DE COMPUTADOR"/>
    <s v="CONTRATACIÓN DE UN TECNICO EN  SISTEMAS O CARRERAS AFINES PARA EL CARGUE DE CONTENIDO Y SOPORTE A LA PLATAFORMA DE LOS CURSOS VIRTUALES DEL ICC"/>
    <n v="1"/>
    <n v="1"/>
    <n v="11"/>
    <m/>
    <s v="CONTRATACIÓN DIRECTA"/>
    <x v="0"/>
    <n v="40000000"/>
    <s v="C-3302-1603-2-0-3302070"/>
    <n v="201891000290"/>
    <x v="0"/>
    <x v="1"/>
    <s v="REALIZAR ACTIVIDADES DE CONSOLIDACIÓN ACADÉMICA"/>
    <s v="NO"/>
    <n v="0"/>
    <s v="N.A"/>
    <s v="GESTIÓN CONTRACTUAL"/>
    <s v="HEILIN GUARNIZO"/>
    <n v="3422121"/>
  </r>
  <r>
    <n v="81112501"/>
    <s v="DIRECCIÓN GENERAL"/>
    <x v="11"/>
    <s v="GESTIÓN DE TECNOLOGÍAS DE LA INFORMACIÓN Y LAS COMUNICACIONES"/>
    <s v="LICENCIAMIENTO (ADOBE FILEMAKER  ANTIVIRUS GESTOR DE SITIOS WEB)"/>
    <s v="RENOVACIÓN Y ADQUISICION DE LICENCIAMIENTO PARA EL ICC"/>
    <n v="7"/>
    <n v="7"/>
    <n v="3"/>
    <m/>
    <s v="SELECCIÓN ABREVIADA SUBASTA INVERSA"/>
    <x v="0"/>
    <n v="28000000"/>
    <s v="C-3399-1603-4-0-3399016"/>
    <n v="201891000284"/>
    <x v="2"/>
    <x v="6"/>
    <s v=" REALIZAR MANTENIMIENTO A ELEMENTOS NO ESTRUCTURALES DE LAS SEDES "/>
    <s v="NO"/>
    <n v="0"/>
    <s v="N.A"/>
    <s v="GESTIÓN CONTRACTUAL"/>
    <s v="HEILIN GUARNIZO"/>
    <n v="3422121"/>
  </r>
  <r>
    <s v="43222503; 81111811"/>
    <s v="DIRECCIÓN GENERAL"/>
    <x v="11"/>
    <s v="GESTIÓN DE TECNOLOGÍAS DE LA INFORMACIÓN Y LAS COMUNICACIONES"/>
    <s v="RENOVACION SMARNET"/>
    <s v="CONTRATACIÓN PARA LA SUSCRIPCIÓN DE LOS SERVICIOS SMART NET TOTAL CARE PARA LOS EQUIPOS DE RED WIFI PROPIEDAD DEL INSTITUTO CARO Y CUERVO"/>
    <n v="8"/>
    <n v="8"/>
    <n v="3"/>
    <m/>
    <s v="MINIMA CUANTÍA"/>
    <x v="0"/>
    <n v="10000000"/>
    <s v="C-3399-1603-4-0-3399016"/>
    <n v="201891000284"/>
    <x v="2"/>
    <x v="6"/>
    <s v=" REALIZAR MANTENIMIENTO A ELEMENTOS NO ESTRUCTURALES DE LAS SEDES "/>
    <s v="NO"/>
    <n v="0"/>
    <s v="N.A"/>
    <s v="GESTIÓN CONTRACTUAL"/>
    <s v="HEILIN GUARNIZO"/>
    <n v="3422121"/>
  </r>
  <r>
    <s v="43222503; 81111811"/>
    <s v="DIRECCIÓN GENERAL"/>
    <x v="11"/>
    <s v="GESTIÓN DE TECNOLOGÍAS DE LA INFORMACIÓN Y LAS COMUNICACIONES"/>
    <s v="RENOVACION SMARNET"/>
    <s v="CONTRATACIÓN PARA LA SUSCRIPCIÓN DE LOS SERVICIOS SMART NET TOTAL CARE PARA LOS EQUIPOS DE RED WIFI PROPIEDAD DEL INSTITUTO CARO Y CUERVO"/>
    <n v="8"/>
    <n v="8"/>
    <n v="3"/>
    <m/>
    <s v="MINIMA CUANTÍA"/>
    <x v="0"/>
    <n v="5000000"/>
    <s v="C-3399-1603-4-0-3399016"/>
    <n v="201891000284"/>
    <x v="2"/>
    <x v="6"/>
    <s v=" REALIZAR MANTENIMIENTO A ELEMENTOS NO ESTRUCTURALES DE LAS SEDES "/>
    <s v="NO"/>
    <n v="0"/>
    <s v="N.A"/>
    <s v="GESTIÓN CONTRACTUAL"/>
    <s v="HEILIN GUARNIZO"/>
    <n v="3422121"/>
  </r>
  <r>
    <n v="81112501"/>
    <s v="DIRECCIÓN GENERAL"/>
    <x v="11"/>
    <s v="GESTIÓN DE TECNOLOGÍAS DE LA INFORMACIÓN Y LAS COMUNICACIONES"/>
    <s v="SOFTWARE DE CORREO ELECTRÓNICO Y OFFICE "/>
    <s v="COMPRA DE LAS LICENCIAS DE CORREO ELÉCTRONICO  OFFICE Y NUBE PERSONAL DE TRABAJO PARA TODA LA ENTIDAD ADMINISTRATIVA Y ESTUDIANTIL"/>
    <n v="9"/>
    <n v="9"/>
    <n v="3"/>
    <m/>
    <s v="ACUERDO MARCO"/>
    <x v="0"/>
    <n v="49719132"/>
    <s v="C-3399-1603-4-0-3399016"/>
    <n v="201891000284"/>
    <x v="2"/>
    <x v="6"/>
    <s v=" REALIZAR MANTENIMIENTO A ELEMENTOS NO ESTRUCTURALES DE LAS SEDES "/>
    <s v="NO"/>
    <n v="0"/>
    <s v="N.A"/>
    <s v="GESTIÓN CONTRACTUAL"/>
    <s v="HEILIN GUARNIZO"/>
    <n v="3422121"/>
  </r>
  <r>
    <n v="43233201"/>
    <s v="DIRECCIÓN GENERAL"/>
    <x v="11"/>
    <s v="GESTIÓN DE TECNOLOGÍAS DE LA INFORMACIÓN Y LAS COMUNICACIONES"/>
    <s v="SOFTWARE DE SERVIDOR DE AUTENTICACIÓN"/>
    <s v="ADQUISICION DE CERTIFICADOS DE TELEFONIA IP (TEAMS)"/>
    <n v="10"/>
    <n v="10"/>
    <n v="3"/>
    <m/>
    <s v="MINIMA CUANTÍA"/>
    <x v="0"/>
    <n v="4000000"/>
    <s v="C-3399-1603-4-0-3399016"/>
    <n v="201891000284"/>
    <x v="2"/>
    <x v="6"/>
    <s v=" REALIZAR MANTENIMIENTO A ELEMENTOS NO ESTRUCTURALES DE LAS SEDES "/>
    <s v="NO"/>
    <n v="0"/>
    <s v="N.A"/>
    <s v="GESTIÓN CONTRACTUAL"/>
    <s v="HEILIN GUARNIZO"/>
    <n v="3422121"/>
  </r>
  <r>
    <s v="72101511;72151504"/>
    <s v="DIRECCIÓN GENERAL"/>
    <x v="11"/>
    <s v="GESTIÓN DE TECNOLOGÍAS DE LA INFORMACIÓN Y LAS COMUNICACIONES"/>
    <s v="MANTENIMIENTO UPS Y AIRE ACONDICIONADO"/>
    <s v="CONTRATAR EL SERVICIO DE MANTENIMIENTO DE UPS Y AIRE ACONDICIONADO PARA LOS CENTROS DE DATOS DE LAS SEDES DEL ICC"/>
    <n v="5"/>
    <n v="5"/>
    <n v="7"/>
    <m/>
    <s v="MINIMA CUANTÍA"/>
    <x v="0"/>
    <n v="13000000"/>
    <s v="C-3399-1603-4-0-3399016"/>
    <n v="201891000284"/>
    <x v="2"/>
    <x v="6"/>
    <s v=" REALIZAR MANTENIMIENTO A ELEMENTOS NO ESTRUCTURALES DE LAS SEDES "/>
    <s v="NO"/>
    <n v="0"/>
    <s v="N.A"/>
    <s v="GESTIÓN CONTRACTUAL"/>
    <s v="HEILIN GUARNIZO"/>
    <n v="3422121"/>
  </r>
  <r>
    <n v="81112306"/>
    <s v="DIRECCIÓN GENERAL"/>
    <x v="11"/>
    <s v="GESTIÓN DE TECNOLOGÍAS DE LA INFORMACIÓN Y LAS COMUNICACIONES"/>
    <s v="MANTENIMIENTO DE IMPRESORAS"/>
    <s v="CONTRATAR EL SERVICIO DE MANTENIMIENTO DE IMPRESORAS RENOVACION DE LICENCIA Y ADQUISICION DE TONNER"/>
    <n v="6"/>
    <n v="6"/>
    <n v="6"/>
    <m/>
    <s v="MINIMA CUANTÍA"/>
    <x v="0"/>
    <n v="16000000"/>
    <s v="C-3399-1603-4-0-3399016"/>
    <n v="201891000284"/>
    <x v="2"/>
    <x v="6"/>
    <s v=" REALIZAR MANTENIMIENTO A ELEMENTOS NO ESTRUCTURALES DE LAS SEDES "/>
    <s v="NO"/>
    <n v="0"/>
    <s v="N.A"/>
    <s v="GESTIÓN CONTRACTUAL"/>
    <s v="HEILIN GUARNIZO"/>
    <n v="3422121"/>
  </r>
  <r>
    <n v="80111621"/>
    <s v="ACADÉMICA"/>
    <x v="1"/>
    <s v="INVESTIGACIÓN"/>
    <s v="ASESOR INVESTIGACIÓN EXTERNA"/>
    <s v="ASESOR INVESTIGACIÓN EXTERNA"/>
    <n v="1"/>
    <m/>
    <n v="10"/>
    <m/>
    <s v="CONTRATACIÓN DIRECTA"/>
    <x v="0"/>
    <n v="36662598"/>
    <s v="C-3302-1603-2-0-3302001"/>
    <n v="201891000290"/>
    <x v="0"/>
    <x v="2"/>
    <s v="DISEÑAR, APROBAR Y EJECUTAR LOS PROYECTOS DE INVESTIGACIÓN"/>
    <s v="NO"/>
    <n v="0"/>
    <s v="N.A"/>
    <s v="GESTIÓN CONTRACTUAL"/>
    <s v="JULIO BERNAL"/>
    <n v="3422121"/>
  </r>
  <r>
    <n v="80111621"/>
    <s v="ACADÉMICA"/>
    <x v="1"/>
    <s v="INVESTIGACIÓN"/>
    <s v="PROFESIONAL APOYO COORDINACIÓN INVESTIGACIÓN"/>
    <s v="PROFESIONAL APOYO COORDINACIÓN INVESTIGACIÓN"/>
    <n v="1"/>
    <m/>
    <n v="11"/>
    <n v="15"/>
    <s v="CONTRATACIÓN DIRECTA"/>
    <x v="0"/>
    <n v="68867544"/>
    <s v="C-3302-1603-2-0-3302001"/>
    <n v="201891000290"/>
    <x v="0"/>
    <x v="2"/>
    <s v="DISEÑAR, APROBAR Y EJECUTAR LOS PROYECTOS DE INVESTIGACIÓN"/>
    <s v="NO"/>
    <n v="0"/>
    <s v="N.A"/>
    <s v="GESTIÓN CONTRACTUAL"/>
    <s v="JULIO BERNAL"/>
    <n v="3422121"/>
  </r>
  <r>
    <n v="80111621"/>
    <s v="ACADÉMICA"/>
    <x v="1"/>
    <s v="INVESTIGACIÓN"/>
    <s v="PROFESIONAL APOYO COORDINACIÓN INVESTIGACIÓN"/>
    <s v="PROFESIONAL APOYO COORDINACIÓN INVESTIGACIÓN"/>
    <n v="1"/>
    <m/>
    <n v="11"/>
    <n v="15"/>
    <s v="CONTRATACIÓN DIRECTA"/>
    <x v="0"/>
    <n v="2202148"/>
    <s v="C-3302-1603-2-0-3302001"/>
    <n v="201891000290"/>
    <x v="0"/>
    <x v="2"/>
    <s v="DISEÑAR, APROBAR Y EJECUTAR LOS PROYECTOS DE INVESTIGACIÓN"/>
    <s v="NO"/>
    <n v="0"/>
    <s v="N.A"/>
    <s v="GESTIÓN CONTRACTUAL"/>
    <s v="JULIO BERNAL"/>
    <n v="3422121"/>
  </r>
  <r>
    <n v="80111621"/>
    <s v="ACADÉMICA"/>
    <x v="1"/>
    <s v="INVESTIGACIÓN"/>
    <s v="LA INTERNACIONALIZACIÓN DE LOS ESCRITORES &quot;COLOMBIANOS&quot; A PARTIR DE LA DECADA DE 1990: EDITORIALES, CRÍTICA PREMIOS Y EVENTOS COMO INTERMEDIARIOS DE VISIBILIDAD"/>
    <s v="CO INVESTIGADOR DEL PROYECTO"/>
    <n v="1"/>
    <m/>
    <n v="10"/>
    <m/>
    <s v="CONTRATACIÓN DIRECTA"/>
    <x v="0"/>
    <n v="29484000"/>
    <s v="C-3302-1603-2-0-3302001"/>
    <n v="201891000290"/>
    <x v="0"/>
    <x v="2"/>
    <s v="DISEÑAR, APROBAR Y EJECUTAR LOS PROYECTOS DE INVESTIGACIÓN"/>
    <s v="NO"/>
    <n v="0"/>
    <s v="N.A"/>
    <s v="GESTIÓN CONTRACTUAL"/>
    <s v="JULIO BERNAL"/>
    <n v="3422121"/>
  </r>
  <r>
    <n v="80111621"/>
    <s v="ACADÉMICA"/>
    <x v="1"/>
    <s v="INVESTIGACIÓN"/>
    <s v="LA INTERNACIONALIZACIÓN DE LOS ESCRITORES &quot;COLOMBIANOS&quot; A PARTIR DE LA DECADA DE 1990: EDITORIALES, CRÍTICA PREMIOS Y EVENTOS COMO INTERMEDIARIOS DE VISIBILIDAD"/>
    <s v="ASISTENTE DE INVESTIGACIÓN"/>
    <n v="1"/>
    <m/>
    <n v="10"/>
    <m/>
    <s v="CONTRATACIÓN DIRECTA"/>
    <x v="0"/>
    <n v="14000000"/>
    <s v="C-3302-1603-2-0-3302001"/>
    <n v="201891000290"/>
    <x v="0"/>
    <x v="2"/>
    <s v="DISEÑAR, APROBAR Y EJECUTAR LOS PROYECTOS DE INVESTIGACIÓN"/>
    <s v="NO"/>
    <n v="0"/>
    <s v="N.A"/>
    <s v="GESTIÓN CONTRACTUAL"/>
    <s v="JULIO BERNAL"/>
    <n v="3422121"/>
  </r>
  <r>
    <n v="80111621"/>
    <s v="ACADÉMICA"/>
    <x v="1"/>
    <s v="INVESTIGACIÓN"/>
    <s v="LA INTERNACIONALIZACIÓN DE LOS ESCRITORES &quot;COLOMBIANOS&quot; A PARTIR DE LA DECADA DE 1990: EDITORIALES, CRÍTICA PREMIOS Y EVENTOS COMO INTERMEDIARIOS DE VISIBILIDAD"/>
    <s v="ASESOR ACADÉMICO EN EL ÁREA DE SOCIOLOGÍA"/>
    <n v="2"/>
    <m/>
    <n v="4"/>
    <m/>
    <s v="CONTRATACIÓN DIRECTA"/>
    <x v="0"/>
    <n v="4800000"/>
    <s v="C-3302-1603-2-0-3302001"/>
    <n v="201891000290"/>
    <x v="0"/>
    <x v="2"/>
    <s v="DISEÑAR, APROBAR Y EJECUTAR LOS PROYECTOS DE INVESTIGACIÓN"/>
    <s v="NO"/>
    <n v="0"/>
    <s v="N.A"/>
    <s v="GESTIÓN CONTRACTUAL"/>
    <s v="JULIO BERNAL"/>
    <n v="3422121"/>
  </r>
  <r>
    <n v="80111621"/>
    <s v="ACADÉMICA"/>
    <x v="1"/>
    <s v="INVESTIGACIÓN"/>
    <s v="POESIA EN MOVIMIENTO FASE 3"/>
    <s v="ASISTENTE DE INVESTIGACIÓN CON PREGRADO"/>
    <n v="2"/>
    <m/>
    <n v="10"/>
    <m/>
    <s v="CONTRATACIÓN DIRECTA"/>
    <x v="0"/>
    <n v="18720000"/>
    <s v="C-3302-1603-2-0-3302001"/>
    <n v="201891000290"/>
    <x v="0"/>
    <x v="2"/>
    <s v="DISEÑAR, APROBAR Y EJECUTAR LOS PROYECTOS DE INVESTIGACIÓN"/>
    <s v="NO"/>
    <n v="0"/>
    <s v="N.A"/>
    <s v="GESTIÓN CONTRACTUAL"/>
    <s v="JULIO BERNAL"/>
    <n v="3422121"/>
  </r>
  <r>
    <n v="80111621"/>
    <s v="ACADÉMICA"/>
    <x v="1"/>
    <s v="INVESTIGACIÓN"/>
    <s v="POESIA EN MOVIMIENTO FASE 3"/>
    <s v="ASISTENTE EDITORIAL CON PREGRADO"/>
    <n v="2"/>
    <m/>
    <n v="5"/>
    <m/>
    <s v="CONTRATACIÓN DIRECTA"/>
    <x v="0"/>
    <n v="9360000"/>
    <s v="C-3302-1603-2-0-3302001"/>
    <n v="201891000290"/>
    <x v="0"/>
    <x v="2"/>
    <s v="DISEÑAR, APROBAR Y EJECUTAR LOS PROYECTOS DE INVESTIGACIÓN"/>
    <s v="NO"/>
    <n v="0"/>
    <s v="N.A"/>
    <s v="GESTIÓN CONTRACTUAL"/>
    <s v="JULIO BERNAL"/>
    <n v="3422121"/>
  </r>
  <r>
    <n v="80111621"/>
    <s v="ACADÉMICA"/>
    <x v="1"/>
    <s v="INVESTIGACIÓN"/>
    <s v="CÓMO SE ESCRIBE UN TEXTO EN SUMAPAZ: APRENDER LDE LAS PRACTICAS DE ESCRITURA VERNACULAR EN COLOMBIA (FASE 4 DE 4 Y CONTINUACIÓN DE LA LÍNEA DE GLOTOPOLÍTICA) "/>
    <s v="INVESTIGADOR"/>
    <n v="1"/>
    <m/>
    <n v="10"/>
    <m/>
    <s v="CONTRATACIÓN DIRECTA"/>
    <x v="0"/>
    <n v="48404374"/>
    <s v="C-3302-1603-2-0-3302001"/>
    <n v="201891000290"/>
    <x v="0"/>
    <x v="2"/>
    <s v="DISEÑAR, APROBAR Y EJECUTAR LOS PROYECTOS DE INVESTIGACIÓN"/>
    <s v="NO"/>
    <n v="0"/>
    <s v="N.A"/>
    <s v="GESTIÓN CONTRACTUAL"/>
    <s v="JULIO BERNAL"/>
    <n v="3422121"/>
  </r>
  <r>
    <n v="80111621"/>
    <s v="ACADÉMICA"/>
    <x v="1"/>
    <s v="INVESTIGACIÓN"/>
    <s v="CORE: HABAL CONECTADA Y REDUCCIÓN FONÉTICA EN EL ESPAÑOL DE COLOMBIA FASE II"/>
    <s v="CO INVESTIGADOR DEL PROYECTO"/>
    <n v="1"/>
    <m/>
    <n v="10"/>
    <m/>
    <s v="CONTRATACIÓN DIRECTA"/>
    <x v="0"/>
    <n v="28922400"/>
    <s v="C-3302-1603-2-0-3302001"/>
    <n v="201891000290"/>
    <x v="0"/>
    <x v="2"/>
    <s v="DISEÑAR, APROBAR Y EJECUTAR LOS PROYECTOS DE INVESTIGACIÓN"/>
    <s v="NO"/>
    <n v="0"/>
    <s v="N.A"/>
    <s v="GESTIÓN CONTRACTUAL"/>
    <s v="JULIO BERNAL"/>
    <n v="3422121"/>
  </r>
  <r>
    <n v="60103600"/>
    <s v="ACADÉMICA"/>
    <x v="1"/>
    <s v="INVESTIGACIÓN"/>
    <s v="RAZA Y EDUCACIÓN EN SEGUNDAS LENGUAS (ESPAÑOL E INGLÉS): HACIA PEDAGOGÍAS DEL EMPODERAMIENTO INTERCULTURAL Y JUSTICIA SOCIAL-FASE II"/>
    <s v="INSCRIPCIÓN EVENTO ACADÉMICO"/>
    <n v="1"/>
    <m/>
    <m/>
    <m/>
    <s v="CONTRATACIÓN DIRECTA"/>
    <x v="0"/>
    <n v="500000"/>
    <s v="C-3302-1603-2-0-3302001"/>
    <n v="201891000290"/>
    <x v="0"/>
    <x v="2"/>
    <s v="DISEÑAR, APROBAR Y EJECUTAR LOS PROYECTOS DE INVESTIGACIÓN"/>
    <s v="NO"/>
    <n v="0"/>
    <s v="N.A"/>
    <s v="GESTIÓN CONTRACTUAL"/>
    <s v="JULIO BERNAL"/>
    <n v="3422121"/>
  </r>
  <r>
    <n v="60103600"/>
    <s v="ACADÉMICA"/>
    <x v="1"/>
    <s v="INVESTIGACIÓN"/>
    <s v="CUESTIONES DE GRAMÁTICA PARA PROFESORES DE ELE: SISTEMA VERBAL"/>
    <s v="INSCRIPCIÓN EVENTO ACADÉMICO NACIONAL O INTERNACIONAL"/>
    <n v="1"/>
    <m/>
    <m/>
    <m/>
    <s v="CONTRATACIÓN DIRECTA"/>
    <x v="1"/>
    <n v="500000"/>
    <s v="C-3302-1603-2-0-3302070"/>
    <n v="201891000290"/>
    <x v="0"/>
    <x v="1"/>
    <s v="REALIZAR ACTIVIDADES DE CONSOLIDACIÓN ACADÉMICA"/>
    <s v="NO"/>
    <n v="0"/>
    <s v="N.A"/>
    <s v="GESTIÓN CONTRACTUAL"/>
    <s v="JULIO BERNAL"/>
    <n v="3422121"/>
  </r>
  <r>
    <n v="80111621"/>
    <s v="ACADÉMICA"/>
    <x v="1"/>
    <s v="INVESTIGACIÓN"/>
    <s v="ARTISTAS EN LAS CUBIERTAS DE LIBROS COLOMBIANOS EN LA PRIMERA MITAD DEL SIGLO XX"/>
    <s v="ASISTENTE DE INVESTIGACIÓN"/>
    <n v="1"/>
    <m/>
    <n v="10"/>
    <m/>
    <s v="CONTRATACIÓN DIRECTA"/>
    <x v="0"/>
    <n v="26120075"/>
    <s v="C-3302-1603-2-0-3302001"/>
    <n v="201891000290"/>
    <x v="0"/>
    <x v="2"/>
    <s v="DISEÑAR, APROBAR Y EJECUTAR LOS PROYECTOS DE INVESTIGACIÓN"/>
    <s v="NO"/>
    <n v="0"/>
    <s v="N.A"/>
    <s v="GESTIÓN CONTRACTUAL"/>
    <s v="JULIO BERNAL"/>
    <n v="3422121"/>
  </r>
  <r>
    <n v="60103600"/>
    <s v="ACADÉMICA"/>
    <x v="1"/>
    <s v="INVESTIGACIÓN"/>
    <s v="EL CUENTO INFNATIL COLOMBIANO COMO HERRAMIENTA DIDÁCTICA PARA LA ENSEÑANZA DE ESPAÑOL COMO LENGUA EXTRANJERA Y SEGUNDA LENGUA (INDÍGENAS) PARA NIÑOS ENTRE 7 Y 12 AÑOS DE EDAD "/>
    <s v="TRES INSCRIPCIONES A EVENTO ACADÉMICO NACIONAL O INTERNACIONAL"/>
    <n v="1"/>
    <m/>
    <m/>
    <m/>
    <s v="CONTRATACIÓN DIRECTA"/>
    <x v="1"/>
    <n v="1200000"/>
    <s v="C-3302-1603-2-0-3302070"/>
    <n v="201891000290"/>
    <x v="0"/>
    <x v="1"/>
    <s v="REALIZAR ACTIVIDADES DE CONSOLIDACIÓN ACADÉMICA"/>
    <s v="NO"/>
    <n v="0"/>
    <s v="N.A"/>
    <s v="GESTIÓN CONTRACTUAL"/>
    <s v="JULIO BERNAL"/>
    <n v="3422121"/>
  </r>
  <r>
    <n v="80111621"/>
    <s v="ACADÉMICA"/>
    <x v="1"/>
    <s v="INVESTIGACIÓN"/>
    <s v="RECORRIDO DE MELODÍAS DE MUJERES EN EL NOROESTE AMAZÓNICO. DOCUMENTACIPON Y DESCRIPCIÓN DE CANCIONES Y MÚSICAS DE MUJERES INDÍGENAS"/>
    <s v="INVESTIGADORA"/>
    <n v="1"/>
    <m/>
    <n v="10"/>
    <m/>
    <s v="CONTRATACIÓN DIRECTA"/>
    <x v="0"/>
    <n v="50373180"/>
    <s v="C-3302-1603-2-0-3302001"/>
    <n v="201891000290"/>
    <x v="0"/>
    <x v="2"/>
    <s v="DISEÑAR, APROBAR Y EJECUTAR LOS PROYECTOS DE INVESTIGACIÓN"/>
    <s v="NO"/>
    <n v="0"/>
    <s v="N.A"/>
    <s v="GESTIÓN CONTRACTUAL"/>
    <s v="JULIO BERNAL"/>
    <n v="3422121"/>
  </r>
  <r>
    <n v="80111621"/>
    <s v="ACADÉMICA"/>
    <x v="1"/>
    <s v="INVESTIGACIÓN"/>
    <s v="RECORRIDO DE MELODÍAS DE MUJERES EN EL NOROESTE AMAZÓNICO. DOCUMENTACIPON Y DESCRIPCIÓN DE CANCIONES Y MÚSICAS DE MUJERES INDÍGENAS"/>
    <s v="SERVICIOS TÉCNICOS INVESTIGACIÓN"/>
    <n v="1"/>
    <m/>
    <m/>
    <m/>
    <s v="CONTRATACIÓN DIRECTA"/>
    <x v="0"/>
    <n v="8000000"/>
    <s v="C-3302-1603-2-0-3302001"/>
    <n v="201891000290"/>
    <x v="0"/>
    <x v="2"/>
    <s v="DISEÑAR, APROBAR Y EJECUTAR LOS PROYECTOS DE INVESTIGACIÓN"/>
    <s v="NO"/>
    <n v="0"/>
    <s v="N.A"/>
    <s v="GESTIÓN CONTRACTUAL"/>
    <s v="JULIO BERNAL"/>
    <n v="3422121"/>
  </r>
  <r>
    <n v="90121603"/>
    <s v="ACADÉMICA"/>
    <x v="1"/>
    <s v="INVESTIGACIÓN"/>
    <s v="RECORRIDO DE MELODÍAS DE MUJERES EN EL NOROESTE AMAZÓNICO. DOCUMENTACIPON Y DESCRIPCIÓN DE CANCIONES Y MÚSICAS DE MUJERES INDÍGENAS"/>
    <s v=" SALIDA DE CAMPO 1 TIQUETE (VUELO COMERCIAL) BOGOTÁ-MITU-MITU-BOGOTÁ"/>
    <n v="6"/>
    <m/>
    <m/>
    <m/>
    <s v="CONTRATACIÓN DIRECTA"/>
    <x v="0"/>
    <n v="1090963"/>
    <s v="C-3302-1603-2-0-3302070"/>
    <n v="201891000290"/>
    <x v="0"/>
    <x v="1"/>
    <s v="REALIZAR ACTIVIDADES DE CONSOLIDACIÓN ACADÉMICA"/>
    <s v="NO"/>
    <n v="0"/>
    <s v="N.A"/>
    <s v="GESTIÓN CONTRACTUAL"/>
    <s v="JULIO BERNAL"/>
    <n v="3422121"/>
  </r>
  <r>
    <n v="90121604"/>
    <s v="ACADÉMICA"/>
    <x v="1"/>
    <s v="INVESTIGACIÓN"/>
    <s v="RECORRIDO DE MELODÍAS DE MUJERES EN EL NOROESTE AMAZÓNICO. DOCUMENTACIPON Y DESCRIPCIÓN DE CANCIONES Y MÚSICAS DE MUJERES INDÍGENAS"/>
    <s v=" SALIDA DE CAMPO 1 TIQUETE (VUELO COMERCIAL) BOGOTÁ-MITU-MITU-BOGOTÁ"/>
    <n v="7"/>
    <m/>
    <m/>
    <m/>
    <s v="CONTRATACIÓN DIRECTA"/>
    <x v="1"/>
    <n v="2148"/>
    <s v="C-3302-1603-2-0-3302001"/>
    <n v="201891000290"/>
    <x v="0"/>
    <x v="2"/>
    <s v="DISEÑAR, APROBAR Y EJECUTAR LOS PROYECTOS DE INVESTIGACIÓN"/>
    <s v="NO"/>
    <n v="0"/>
    <s v="N.A"/>
    <s v="GESTIÓN CONTRACTUAL"/>
    <s v="JULIO BERNAL"/>
    <n v="3422121"/>
  </r>
  <r>
    <n v="90121603"/>
    <s v="ACADÉMICA"/>
    <x v="1"/>
    <s v="INVESTIGACIÓN"/>
    <s v="RECORRIDO DE MELODÍAS DE MUJERES EN EL NOROESTE AMAZÓNICO. DOCUMENTACIPON Y DESCRIPCIÓN DE CANCIONES Y MÚSICAS DE MUJERES INDÍGENAS"/>
    <s v=" SALIDA DE CAMPO 1 TIQUETE (VUELO COMERCIAL) BOGOTÁ-MITU-MITU-BOGOTÁ"/>
    <n v="1"/>
    <n v="1"/>
    <m/>
    <m/>
    <s v="CONTRATACIÓN DIRECTA"/>
    <x v="1"/>
    <n v="106889"/>
    <s v="C-3302-1603-2-0-3302070"/>
    <n v="201891000290"/>
    <x v="0"/>
    <x v="1"/>
    <s v="REALIZAR ACTIVIDADES DE CONSOLIDACIÓN ACADÉMICA"/>
    <s v="NO"/>
    <n v="0"/>
    <s v="N.A"/>
    <s v="GESTIÓN CONTRACTUAL"/>
    <s v="JULIO BERNAL"/>
    <n v="3422121"/>
  </r>
  <r>
    <n v="90121603"/>
    <s v="ACADÉMICA"/>
    <x v="1"/>
    <s v="INVESTIGACIÓN"/>
    <s v="RECORRIDO DE MELODÍAS DE MUJERES EN EL NOROESTE AMAZÓNICO. DOCUMENTACIPON Y DESCRIPCIÓN DE CANCIONES Y MÚSICAS DE MUJERES INDÍGENAS"/>
    <s v="SALIDA DE CAMPO 1 TIQUETES (AVIONETA) MITÚ-BUENOS AIRES (COMUNIDAD CABIYARÍ.BARASANA, TAIWANAS), IDA Y VUELTA"/>
    <n v="6"/>
    <m/>
    <m/>
    <m/>
    <s v="CONTRATACIÓN DIRECTA"/>
    <x v="1"/>
    <n v="3200000"/>
    <s v="C-3302-1603-2-0-3302070"/>
    <n v="201891000290"/>
    <x v="0"/>
    <x v="1"/>
    <s v="REALIZAR ACTIVIDADES DE CONSOLIDACIÓN ACADÉMICA"/>
    <s v="NO"/>
    <n v="0"/>
    <s v="N.A"/>
    <s v="GESTIÓN CONTRACTUAL"/>
    <s v="JULIO BERNAL"/>
    <n v="3422121"/>
  </r>
  <r>
    <n v="78141500"/>
    <s v="ACADÉMICA"/>
    <x v="1"/>
    <s v="INVESTIGACIÓN"/>
    <s v="RECORRIDO DE MELODÍAS DE MUJERES EN EL NOROESTE AMAZÓNICO. DOCUMENTACIPON Y DESCRIPCIÓN DE CANCIONES Y MÚSICAS DE MUJERES INDÍGENAS"/>
    <s v="GASTOS DE VIAJE SALIDAD DE CAMPO TRANSPORTE EN LANCHA: MITÚ-WACARÁ (COMUNIDAD KAKUA) (INCLUYE, ALQUILER DE BOTE, GASOLINA, ALQUILER DE MOTO Y MOTORISTA"/>
    <n v="6"/>
    <m/>
    <m/>
    <m/>
    <s v="CONTRATACIÓN DIRECTA"/>
    <x v="1"/>
    <n v="800000"/>
    <s v="C-3302-1603-2-0-3302070"/>
    <n v="201891000290"/>
    <x v="0"/>
    <x v="1"/>
    <s v="REALIZAR ACTIVIDADES DE CONSOLIDACIÓN ACADÉMICA"/>
    <s v="NO"/>
    <n v="0"/>
    <s v="N.A"/>
    <s v="GESTIÓN CONTRACTUAL"/>
    <s v="JULIO BERNAL"/>
    <n v="3422121"/>
  </r>
  <r>
    <n v="78141500"/>
    <s v="ACADÉMICA"/>
    <x v="1"/>
    <s v="INVESTIGACIÓN"/>
    <s v="RECORRIDO DE MELODÍAS DE MUJERES EN EL NOROESTE AMAZÓNICO. DOCUMENTACIPON Y DESCRIPCIÓN DE CANCIONES Y MÚSICAS DE MUJERES INDÍGENAS"/>
    <s v="GASTOS DE VIAJE- GASTOS VARIOS EN AVUPÉS: GASOLINA PARA INTERCAMBIO POR HOSPEDAJES EN LAS COMINIDADES. ALIMENTACIÓN. ELEMENTOS BÁSICOS PARA INTERCMABIO POR HOSPEDAJES. MATERIALES PARA ACTIVIDADES A DESARROLLAR CON MUJERES"/>
    <n v="6"/>
    <m/>
    <m/>
    <m/>
    <s v="CONTRATACIÓN DIRECTA"/>
    <x v="1"/>
    <n v="300000"/>
    <s v="C-3302-1603-2-0-3302070"/>
    <n v="201891000290"/>
    <x v="0"/>
    <x v="1"/>
    <s v="REALIZAR ACTIVIDADES DE CONSOLIDACIÓN ACADÉMICA"/>
    <s v="NO"/>
    <n v="0"/>
    <s v="N.A"/>
    <s v="GESTIÓN CONTRACTUAL"/>
    <s v="JULIO BERNAL"/>
    <n v="3422121"/>
  </r>
  <r>
    <n v="78141500"/>
    <s v="ACADÉMICA"/>
    <x v="1"/>
    <s v="INVESTIGACIÓN"/>
    <s v="RECORRIDO DE MELODÍAS DE MUJERES EN EL NOROESTE AMAZÓNICO. DOCUMENTACIPON Y DESCRIPCIÓN DE CANCIONES Y MÚSICAS DE MUJERES INDÍGENAS"/>
    <s v="GASTOS DE VIAJE HOSPEDAJE EN MITU: 2 NOCHES. (NOCHE DE LLEGADA A MITÚ Y ANOCHE ANTES DE REGRESO DE MITÚ A BOGOTÁ)"/>
    <n v="6"/>
    <m/>
    <m/>
    <m/>
    <s v="CONTRATACIÓN DIRECTA"/>
    <x v="1"/>
    <n v="200000"/>
    <s v="C-3302-1603-2-0-3302001"/>
    <n v="201891000290"/>
    <x v="0"/>
    <x v="2"/>
    <s v="DISEÑAR, APROBAR Y EJECUTAR LOS PROYECTOS DE INVESTIGACIÓN"/>
    <s v="NO"/>
    <n v="0"/>
    <s v="N.A"/>
    <s v="GESTIÓN CONTRACTUAL"/>
    <s v="JULIO BERNAL"/>
    <n v="3422121"/>
  </r>
  <r>
    <n v="60103600"/>
    <s v="ACADÉMICA"/>
    <x v="1"/>
    <s v="INVESTIGACIÓN"/>
    <s v="COMPETENCIAS EN TIC DE DOCENTES DE LENGUAS EXTRANJERAS: ANALISIS DE NECESIDADES  EN FORMACIÓN DOCENTE"/>
    <s v="DOS INSCRIPCIONES A EVENTO ACADÉMICO INTERNACIONAL"/>
    <m/>
    <m/>
    <m/>
    <m/>
    <s v="CONTRATACIÓN DIRECTA"/>
    <x v="1"/>
    <n v="1000000"/>
    <s v="C-3302-1603-2-0-3302001"/>
    <n v="201891000290"/>
    <x v="0"/>
    <x v="2"/>
    <s v="DISEÑAR, APROBAR Y EJECUTAR LOS PROYECTOS DE INVESTIGACIÓN"/>
    <s v="NO"/>
    <n v="0"/>
    <s v="N.A"/>
    <s v="GESTIÓN CONTRACTUAL"/>
    <s v="JULIO BERNAL"/>
    <n v="3422121"/>
  </r>
  <r>
    <n v="80111621"/>
    <s v="ACADÉMICA"/>
    <x v="1"/>
    <s v="INVESTIGACIÓN"/>
    <s v="NOVELA SIN FICCÓN SOBRE LA DESGRACIA PROPIA"/>
    <s v="ASISTENTE DE INVESTIGACIÓN"/>
    <n v="1"/>
    <m/>
    <n v="4"/>
    <m/>
    <s v="CONTRATACIÓN DIRECTA"/>
    <x v="0"/>
    <n v="4000000"/>
    <s v="C-3302-1603-2-0-3302001"/>
    <n v="201891000290"/>
    <x v="0"/>
    <x v="2"/>
    <s v="DISEÑAR, APROBAR Y EJECUTAR LOS PROYECTOS DE INVESTIGACIÓN"/>
    <s v="NO"/>
    <n v="0"/>
    <s v="N.A"/>
    <s v="GESTIÓN CONTRACTUAL"/>
    <s v="JULIO BERNAL"/>
    <n v="3422121"/>
  </r>
  <r>
    <n v="80111621"/>
    <s v="ACADÉMICA"/>
    <x v="1"/>
    <s v="INVESTIGACIÓN"/>
    <s v="NOVELA SIN FICCÓN SOBRE LA DESGRACIA PROPIA"/>
    <s v="ASISTENTE DE INVESTIGACIÓN"/>
    <n v="1"/>
    <m/>
    <n v="4"/>
    <m/>
    <s v="CONTRATACIÓN DIRECTA"/>
    <x v="0"/>
    <n v="4000000"/>
    <s v="C-3302-1603-2-0-3302001"/>
    <n v="201891000290"/>
    <x v="0"/>
    <x v="2"/>
    <s v="DISEÑAR, APROBAR Y EJECUTAR LOS PROYECTOS DE INVESTIGACIÓN"/>
    <s v="NO"/>
    <n v="0"/>
    <s v="N.A"/>
    <s v="GESTIÓN CONTRACTUAL"/>
    <s v="JULIO BERNAL"/>
    <n v="3422121"/>
  </r>
  <r>
    <n v="80111621"/>
    <s v="ACADÉMICA"/>
    <x v="1"/>
    <s v="INVESTIGACIÓN"/>
    <s v="CARTOGRAFÍA CRÍTICA DEL CUENTO EN COLOMBIA: LA DÉCADA DE LOS 80 Y LOS ARCHIVOS LITERARIOS III PARTE"/>
    <s v="ASISTENTE DE INVESTIGACIÓN"/>
    <n v="1"/>
    <m/>
    <n v="10"/>
    <m/>
    <s v="CONTRATACIÓN DIRECTA"/>
    <x v="0"/>
    <n v="28080000"/>
    <s v="C-3302-1603-2-0-3302001"/>
    <n v="201891000290"/>
    <x v="0"/>
    <x v="2"/>
    <s v="DISEÑAR, APROBAR Y EJECUTAR LOS PROYECTOS DE INVESTIGACIÓN"/>
    <s v="NO"/>
    <n v="0"/>
    <s v="N.A"/>
    <s v="GESTIÓN CONTRACTUAL"/>
    <s v="JULIO BERNAL"/>
    <n v="3422121"/>
  </r>
  <r>
    <n v="60103600"/>
    <s v="ACADÉMICA"/>
    <x v="1"/>
    <s v="INVESTIGACIÓN"/>
    <s v="CORPUS LEXICO DEL ESPAÑOL DE COLOMBIA CORLEXCO CUARTA FASE: CONSTRUCCIONES ADVERBIALES (LOCUCIONES Y COLOCACIONES)"/>
    <s v="INSCRIPCIÓN AL IX CONGRESO INTERNACIONAL DE LEXICOGRAFÍA HISPANICA EVENTO VIRTUAL"/>
    <n v="1"/>
    <m/>
    <m/>
    <m/>
    <s v="CONTRATACIÓN DIRECTA"/>
    <x v="1"/>
    <n v="1000000"/>
    <s v="C-3302-1603-2-0-3302001"/>
    <n v="201891000290"/>
    <x v="0"/>
    <x v="2"/>
    <s v="DISEÑAR, APROBAR Y EJECUTAR LOS PROYECTOS DE INVESTIGACIÓN"/>
    <s v="NO"/>
    <n v="0"/>
    <s v="N.A"/>
    <s v="GESTIÓN CONTRACTUAL"/>
    <s v="JULIO BERNAL"/>
    <n v="3422121"/>
  </r>
  <r>
    <n v="60103600"/>
    <s v="ACADÉMICA"/>
    <x v="1"/>
    <s v="INVESTIGACIÓN"/>
    <s v="IMPACTO DE LA RETROALIMENTACIÓN ESCRITA EN EL APRONDIZAJE DE LOS ESTUDIANTES DE LENGUAS EXTRANJERAS EN AMBIENTES DE APRENDIZAJE UN ESTUDIO MULTICASOS"/>
    <s v="INSCRIPCIÓN AL VIII CONGRESO INTERNACIONAL SOBRE LA ENSEÑANZA DEL ESPAÑOL"/>
    <n v="6"/>
    <m/>
    <m/>
    <m/>
    <s v="CONTRATACIÓN DIRECTA"/>
    <x v="1"/>
    <n v="390000"/>
    <s v="C-3302-1603-2-0-3302070"/>
    <n v="201891000290"/>
    <x v="0"/>
    <x v="1"/>
    <s v="REALIZAR ACTIVIDADES DE CONSOLIDACIÓN ACADÉMICA"/>
    <s v="NO"/>
    <n v="0"/>
    <s v="N.A"/>
    <s v="GESTIÓN CONTRACTUAL"/>
    <s v="JULIO BERNAL"/>
    <n v="3422121"/>
  </r>
  <r>
    <n v="80111621"/>
    <s v="ACADÉMICA"/>
    <x v="1"/>
    <s v="INVESTIGACIÓN"/>
    <s v="MACROPROYECTO NUEVO ATLAS LINGUISTICO-ANTROPOLOGICO DE COLOMBIA POR REGIONES NALAC FASE 4 AÑO 2022"/>
    <s v="LIDER DIMENSIÓN GEOLINGUÍSTICA"/>
    <n v="1"/>
    <m/>
    <n v="10"/>
    <m/>
    <s v="CONTRATACIÓN DIRECTA"/>
    <x v="0"/>
    <n v="32923800"/>
    <s v="C-3302-1603-2-0-3302001"/>
    <n v="201891000290"/>
    <x v="0"/>
    <x v="2"/>
    <s v="DISEÑAR, APROBAR Y EJECUTAR LOS PROYECTOS DE INVESTIGACIÓN"/>
    <s v="NO"/>
    <n v="0"/>
    <s v="N.A"/>
    <s v="GESTIÓN CONTRACTUAL"/>
    <s v="JULIO BERNAL"/>
    <n v="3422121"/>
  </r>
  <r>
    <n v="80111621"/>
    <s v="ACADÉMICA"/>
    <x v="1"/>
    <s v="INVESTIGACIÓN"/>
    <s v="MACROPROYECTO NUEVO ATLAS LINGUISTICO-ANTROPOLOGICO DE COLOMBIA POR REGIONES NALAC FASE 4 AÑO 2022"/>
    <s v="CO INVESTIGADOR DIMENSIÓN GEOLINGUÍSTICA"/>
    <n v="1"/>
    <m/>
    <n v="10"/>
    <m/>
    <s v="CONTRATACIÓN DIRECTA"/>
    <x v="0"/>
    <n v="18813600"/>
    <s v="C-3302-1603-2-0-3302001"/>
    <n v="201891000290"/>
    <x v="0"/>
    <x v="2"/>
    <s v="DISEÑAR, APROBAR Y EJECUTAR LOS PROYECTOS DE INVESTIGACIÓN"/>
    <s v="NO"/>
    <n v="0"/>
    <s v="N.A"/>
    <s v="GESTIÓN CONTRACTUAL"/>
    <s v="JULIO BERNAL"/>
    <n v="3422121"/>
  </r>
  <r>
    <n v="80111621"/>
    <s v="ACADÉMICA"/>
    <x v="1"/>
    <s v="INVESTIGACIÓN"/>
    <s v="MACROPROYECTO NUEVO ATLAS LINGUISTICO-ANTROPOLOGICO DE COLOMBIA POR REGIONES NALAC FASE 4 AÑO 2022"/>
    <s v="DESARROLLADOR DIMENSIÓN GEOLINGUÍSTICA"/>
    <n v="1"/>
    <m/>
    <n v="10"/>
    <m/>
    <s v="CONTRATACIÓN DIRECTA"/>
    <x v="0"/>
    <n v="28220400"/>
    <s v="C-3302-1603-2-0-3302001"/>
    <n v="201891000290"/>
    <x v="0"/>
    <x v="2"/>
    <s v="DISEÑAR, APROBAR Y EJECUTAR LOS PROYECTOS DE INVESTIGACIÓN"/>
    <s v="NO"/>
    <n v="0"/>
    <s v="N.A"/>
    <s v="GESTIÓN CONTRACTUAL"/>
    <s v="JULIO BERNAL"/>
    <n v="3422121"/>
  </r>
  <r>
    <n v="80111621"/>
    <s v="ACADÉMICA"/>
    <x v="1"/>
    <s v="INVESTIGACIÓN"/>
    <s v="MACROPROYECTO NUEVO ATLAS LINGUISTICO-ANTROPOLOGICO DE COLOMBIA POR REGIONES NALAC FASE 4 AÑO 2022"/>
    <s v="LIDER DIMENSIÓN DE CORPUS Y LEXICOGRÁFICAA"/>
    <n v="1"/>
    <m/>
    <n v="10"/>
    <m/>
    <s v="CONTRATACIÓN DIRECTA"/>
    <x v="0"/>
    <n v="28163302"/>
    <s v="C-3302-1603-2-0-3302001"/>
    <n v="201891000290"/>
    <x v="0"/>
    <x v="2"/>
    <s v="DISEÑAR, APROBAR Y EJECUTAR LOS PROYECTOS DE INVESTIGACIÓN"/>
    <s v="NO"/>
    <n v="0"/>
    <s v="N.A"/>
    <s v="GESTIÓN CONTRACTUAL"/>
    <s v="JULIO BERNAL"/>
    <n v="3422121"/>
  </r>
  <r>
    <n v="80111621"/>
    <s v="ACADÉMICA"/>
    <x v="1"/>
    <s v="INVESTIGACIÓN"/>
    <s v="MACROPROYECTO NUEVO ATLAS LINGUISTICO-ANTROPOLOGICO DE COLOMBIA POR REGIONES NALAC FASE 4 AÑO 2022"/>
    <s v="ASISTENTE DIMENSION DE CORPUS Y LEXICOGRÁFICA"/>
    <n v="1"/>
    <m/>
    <n v="10"/>
    <m/>
    <s v="CONTRATACIÓN DIRECTA"/>
    <x v="0"/>
    <n v="18813600"/>
    <s v="C-3302-1603-2-0-3302001"/>
    <n v="201891000290"/>
    <x v="0"/>
    <x v="2"/>
    <s v="DISEÑAR, APROBAR Y EJECUTAR LOS PROYECTOS DE INVESTIGACIÓN"/>
    <s v="NO"/>
    <n v="0"/>
    <s v="N.A"/>
    <s v="GESTIÓN CONTRACTUAL"/>
    <s v="JULIO BERNAL"/>
    <n v="3422121"/>
  </r>
  <r>
    <n v="80111621"/>
    <s v="ACADÉMICA"/>
    <x v="1"/>
    <s v="INVESTIGACIÓN"/>
    <s v="MACROPROYECTO NUEVO ATLAS LINGUISTICO-ANTROPOLOGICO DE COLOMBIA POR REGIONES NALAC FASE 4 AÑO 2022"/>
    <s v="LIDER DIMENSIÓN ANTROPOLÓGICA"/>
    <n v="1"/>
    <m/>
    <n v="10"/>
    <m/>
    <s v="CONTRATACIÓN DIRECTA"/>
    <x v="0"/>
    <n v="32923800"/>
    <s v="C-3302-1603-2-0-3302001"/>
    <n v="201891000290"/>
    <x v="0"/>
    <x v="2"/>
    <s v="DISEÑAR, APROBAR Y EJECUTAR LOS PROYECTOS DE INVESTIGACIÓN"/>
    <s v="NO"/>
    <n v="0"/>
    <s v="N.A"/>
    <s v="GESTIÓN CONTRACTUAL"/>
    <s v="JULIO BERNAL"/>
    <n v="3422121"/>
  </r>
  <r>
    <n v="80111621"/>
    <s v="ACADÉMICA"/>
    <x v="1"/>
    <s v="INVESTIGACIÓN"/>
    <s v="MACROPROYECTO NUEVO ATLAS LINGUISTICO-ANTROPOLOGICO DE COLOMBIA POR REGIONES NALAC FASE 4 AÑO 2022"/>
    <s v="ASISTENTE LEXICOGRAFO PEDAGOGO"/>
    <n v="1"/>
    <m/>
    <n v="10"/>
    <m/>
    <s v="CONTRATACIÓN DIRECTA"/>
    <x v="0"/>
    <n v="19254649"/>
    <s v="C-3302-1603-2-0-3302001"/>
    <n v="201891000290"/>
    <x v="0"/>
    <x v="2"/>
    <s v="DISEÑAR, APROBAR Y EJECUTAR LOS PROYECTOS DE INVESTIGACIÓN"/>
    <s v="NO"/>
    <n v="0"/>
    <s v="N.A"/>
    <s v="GESTIÓN CONTRACTUAL"/>
    <s v="JULIO BERNAL"/>
    <n v="3422121"/>
  </r>
  <r>
    <n v="80111621"/>
    <s v="ACADÉMICA"/>
    <x v="1"/>
    <s v="INVESTIGACIÓN"/>
    <s v="MACROPROYECTO NUEVO ATLAS LINGUISTICO-ANTROPOLOGICO DE COLOMBIA POR REGIONES NALAC FASE 4 AÑO 2022"/>
    <s v="DESARROLLADOR DE SISTEMAS"/>
    <n v="1"/>
    <m/>
    <n v="10"/>
    <m/>
    <s v="CONTRATACIÓN DIRECTA"/>
    <x v="0"/>
    <n v="19254649"/>
    <s v="C-3302-1603-2-0-3302001"/>
    <n v="201891000290"/>
    <x v="0"/>
    <x v="2"/>
    <s v="DISEÑAR, APROBAR Y EJECUTAR LOS PROYECTOS DE INVESTIGACIÓN"/>
    <s v="NO"/>
    <n v="0"/>
    <s v="N.A"/>
    <s v="GESTIÓN CONTRACTUAL"/>
    <s v="JULIO BERNAL"/>
    <n v="3422121"/>
  </r>
  <r>
    <n v="80111621"/>
    <s v="ACADÉMICA"/>
    <x v="1"/>
    <s v="INVESTIGACIÓN"/>
    <s v="MACROPROYECTO NUEVO ATLAS LINGUISTICO-ANTROPOLOGICO DE COLOMBIA POR REGIONES NALAC FASE 4 AÑO 2022"/>
    <s v="ASISTENTE INTERDIMENSIONES NALAC"/>
    <n v="1"/>
    <m/>
    <n v="10"/>
    <m/>
    <s v="CONTRATACIÓN DIRECTA"/>
    <x v="0"/>
    <n v="15756390"/>
    <s v="C-3302-1603-2-0-3302001"/>
    <n v="201891000290"/>
    <x v="0"/>
    <x v="2"/>
    <s v="DISEÑAR, APROBAR Y EJECUTAR LOS PROYECTOS DE INVESTIGACIÓN"/>
    <s v="NO"/>
    <n v="0"/>
    <s v="N.A"/>
    <s v="GESTIÓN CONTRACTUAL"/>
    <s v="JULIO BERNAL"/>
    <n v="3422121"/>
  </r>
  <r>
    <n v="80111621"/>
    <s v="ACADÉMICA"/>
    <x v="1"/>
    <s v="INVESTIGACIÓN"/>
    <s v="NACIÓN CULTURAL VS. FRONTERAS POLÍTICAS Y_x000a_LINGÜÍSTICAS II: POÉTICAS TRANSFRONTERIZAS AFRO_x000a_ENACIÓN CULTURAL VS. FRONTERAS POLÍTICAS Y_x000a_LINGÜÍSTICAS II: POÉTICAS TRANSFRONTERIZAS AFRO_x000a_E INDÍGENAS"/>
    <s v="ASISTENTE DE INVESTIGACIÓN"/>
    <n v="1"/>
    <m/>
    <n v="10"/>
    <m/>
    <s v="CONTRATACIÓN DIRECTA"/>
    <x v="0"/>
    <n v="28922400"/>
    <s v="C-3302-1603-2-0-3302001"/>
    <n v="201891000290"/>
    <x v="0"/>
    <x v="2"/>
    <s v="DISEÑAR, APROBAR Y EJECUTAR LOS PROYECTOS DE INVESTIGACIÓN"/>
    <s v="NO"/>
    <n v="0"/>
    <s v="N.A"/>
    <s v="GESTIÓN CONTRACTUAL"/>
    <s v="JULIO BERNAL"/>
    <n v="3422121"/>
  </r>
  <r>
    <n v="60103600"/>
    <s v="ACADÉMICA"/>
    <x v="1"/>
    <s v="INVESTIGACIÓN"/>
    <s v="ASISTENCIA AUTOMÁTICA PARA LA EVALUACIÓN Y ENSEÑANZA DE LA COMPETENCIA ESCRITA EN GRANDES COMUNIDADES EDUCATIVAS (PRUEBA DE CONCEPTO DEL MODELO DE EVALUACIÓN)"/>
    <s v="PAGO ARTÍCULO ARTICLE PROCESSING CHARGES APC "/>
    <n v="1"/>
    <m/>
    <m/>
    <m/>
    <s v="CONTRATACIÓN DIRECTA"/>
    <x v="1"/>
    <n v="3816000"/>
    <s v="C-3302-1603-2-0-3302070"/>
    <n v="201891000290"/>
    <x v="0"/>
    <x v="1"/>
    <s v="REALIZAR ACTIVIDADES DE CONSOLIDACIÓN ACADÉMICA"/>
    <s v="NO"/>
    <n v="0"/>
    <s v="N.A"/>
    <s v="GESTIÓN CONTRACTUAL"/>
    <s v="JULIO BERNAL"/>
    <n v="3422121"/>
  </r>
  <r>
    <n v="80111621"/>
    <s v="ACADÉMICA"/>
    <x v="1"/>
    <s v="INVESTIGACIÓN"/>
    <s v="ANÁLISIS CONTRASTIVO LSC-L2 DE LOS SORDOS (FASE 2): CORPUES PARALELO DE UNIDADES LEXICAS LSC Y ESPAÑOL"/>
    <s v="CONTRATO SERVICIOS TÉCNICOS SEGMENTACIÓN Y TRANSCRIPCIÓN DEL DE GLOSAS EN VIDEO  EL PERFIL DE TRANSCRIPTORES_x000a_1). PROFESIONALES O ESTUDIANTES UNIVERSITARIOS DE ÚLTIMO SEMESTRE CON AMPLIO CONOCIMIENTO EN SEGMENTACIÓN Y TRANSCRIPCIÓN CON EL SOFTWARE ELAN. TAMBIÉN PUEDEN SER PERSONAS SORDAS BACHILLERES QUE TAMBIÉN ACREDITEN ENTRENAMIENTO Y EXPERIENCIA EN EL USO DE ELAN._x000a_2).CONOCIMIENTO BÁSICO DE LENGUA DE SEÑAS COLOMBIANA (LSC)_x000a_"/>
    <n v="6"/>
    <m/>
    <m/>
    <m/>
    <s v="CONTRATACIÓN DIRECTA"/>
    <x v="0"/>
    <n v="1800000"/>
    <s v="C-3302-1603-2-0-3302001"/>
    <n v="201891000290"/>
    <x v="0"/>
    <x v="2"/>
    <s v="DISEÑAR, APROBAR Y EJECUTAR LOS PROYECTOS DE INVESTIGACIÓN"/>
    <s v="NO"/>
    <n v="0"/>
    <s v="N.A"/>
    <s v="GESTIÓN CONTRACTUAL"/>
    <s v="JULIO BERNAL"/>
    <n v="3422121"/>
  </r>
  <r>
    <n v="60103600"/>
    <s v="ACADÉMICA"/>
    <x v="1"/>
    <s v="INVESTIGACIÓN"/>
    <s v="ANÁLISIS CONTRASTIVO LSC-L2 DE LOS SORDOS (FASE 2): CORPUES PARALELO DE UNIDADES LEXICAS LSC Y ESPAÑOL"/>
    <s v="PAGO INSCRIPCIÓN EVENTO 240 DÓLARES_x000a_3º CONGRESO NACIONAL DE PESQUISAS EM LINGUÍSTCICA E LINGUAS DE SINAIS/ 7 CONGRESSO NACIONAL DE PESQUISAS EN TRADUCAO E INTERPRETACAO DE LIBRAR E LINGUA PORTUGUESA/4 SEMINARIO FRANCO-BRASILEIRO DE ESTUDIOS SURDOS: LINGUAS DE SINAIS, ARTES E TRADUCAO E INTERPRETACAO_x000a__x000a_FECHA: 27 DE JUNIO DE 2022 A 1 JULIO DE 2022_x000a_FECHAS LÍMITE DE PAGO: _x000a_HASTA EL 20 DE ENERO DE 2022, USD$100_x000a_HASTA EL 30 DE MARZODE 2022, USD$170_x000a_EN EL SITIO DEL EVENTO 29 DE JUNIO DE 2022, USD$240"/>
    <n v="3"/>
    <m/>
    <m/>
    <m/>
    <s v="CONTRATACIÓN DIRECTA"/>
    <x v="1"/>
    <n v="960000"/>
    <s v="C-3302-1603-2-0-3302070"/>
    <n v="201891000290"/>
    <x v="0"/>
    <x v="1"/>
    <s v="REALIZAR ACTIVIDADES DE CONSOLIDACIÓN ACADÉMICA"/>
    <s v="NO"/>
    <n v="0"/>
    <s v="N.A"/>
    <s v="GESTIÓN CONTRACTUAL"/>
    <s v="JULIO BERNAL"/>
    <n v="3422121"/>
  </r>
  <r>
    <n v="80111621"/>
    <s v="ACADÉMICA"/>
    <x v="1"/>
    <s v="INVESTIGACIÓN"/>
    <s v="DICCIONARIO LENGUA INDÍGENA ANDOQUE"/>
    <s v="ASISTENTE DE INVESTIGACIÓN"/>
    <n v="1"/>
    <m/>
    <n v="10"/>
    <m/>
    <s v="CONTRATACIÓN DIRECTA"/>
    <x v="0"/>
    <n v="12000000"/>
    <s v="C-3302-1603-2-0-3302001"/>
    <n v="201891000290"/>
    <x v="0"/>
    <x v="2"/>
    <s v="DISEÑAR, APROBAR Y EJECUTAR LOS PROYECTOS DE INVESTIGACIÓN"/>
    <s v="NO"/>
    <n v="0"/>
    <s v="N.A"/>
    <s v="GESTIÓN CONTRACTUAL"/>
    <s v="JULIO BERNAL"/>
    <n v="3422121"/>
  </r>
  <r>
    <n v="80111621"/>
    <s v="ACADÉMICA"/>
    <x v="1"/>
    <s v="INVESTIGACIÓN"/>
    <s v="DICCIONARIO LENGUA INDÍGENA ANDOQUE"/>
    <s v="ASISTENTE DE INVESTIGACIÓN"/>
    <n v="1"/>
    <m/>
    <n v="10"/>
    <m/>
    <s v="CONTRATACIÓN DIRECTA"/>
    <x v="0"/>
    <n v="12000000"/>
    <s v="C-3302-1603-2-0-3302001"/>
    <n v="201891000290"/>
    <x v="0"/>
    <x v="2"/>
    <s v="DISEÑAR, APROBAR Y EJECUTAR LOS PROYECTOS DE INVESTIGACIÓN"/>
    <s v="NO"/>
    <n v="0"/>
    <s v="N.A"/>
    <s v="GESTIÓN CONTRACTUAL"/>
    <s v="JULIO BERNAL"/>
    <n v="3422121"/>
  </r>
  <r>
    <n v="90121603"/>
    <s v="ACADÉMICA"/>
    <x v="1"/>
    <s v="INVESTIGACIÓN"/>
    <s v="TEXTUALIDADES DESDE TRES PUNTOS CARDINALES: AGENCIAS Y REPRESENTACIONES DE PERTENENCIA COLECTIVA AFRO E INDÍGENA"/>
    <s v="SALIDA DE CAMPO TIQUETES A BARRANCOMINAS GUAINIA"/>
    <n v="4"/>
    <m/>
    <m/>
    <m/>
    <s v="CONTRATACIÓN DIRECTA"/>
    <x v="0"/>
    <n v="606956"/>
    <s v="C-3302-1603-2-0-3302070"/>
    <n v="201891000290"/>
    <x v="0"/>
    <x v="1"/>
    <s v="REALIZAR ACTIVIDADES DE CONSOLIDACIÓN ACADÉMICA"/>
    <s v="NO"/>
    <n v="0"/>
    <s v="N.A"/>
    <s v="GESTIÓN CONTRACTUAL"/>
    <s v="JULIO BERNAL"/>
    <n v="3422121"/>
  </r>
  <r>
    <n v="90121603"/>
    <s v="ACADÉMICA"/>
    <x v="1"/>
    <s v="INVESTIGACIÓN"/>
    <s v="TEXTUALIDADES DESDE TRES PUNTOS CARDINALES: AGENCIAS Y REPRESENTACIONES DE PERTENENCIA COLECTIVA AFRO E INDÍGENA"/>
    <s v="SALIDA DE CAMPO TIQUETES A BARRANCOMINAS GUAINIA"/>
    <n v="1"/>
    <n v="1"/>
    <m/>
    <m/>
    <s v="CONTRATACIÓN DIRECTA"/>
    <x v="1"/>
    <n v="193044"/>
    <s v="C-3302-1603-2-0-3302070"/>
    <n v="201891000290"/>
    <x v="0"/>
    <x v="1"/>
    <s v="REALIZAR ACTIVIDADES DE CONSOLIDACIÓN ACADÉMICA"/>
    <s v="NO"/>
    <n v="0"/>
    <s v="N.A"/>
    <s v="GESTIÓN CONTRACTUAL"/>
    <s v="JULIO BERNAL"/>
    <n v="3422121"/>
  </r>
  <r>
    <n v="78141500"/>
    <s v="ACADÉMICA"/>
    <x v="1"/>
    <s v="INVESTIGACIÓN"/>
    <s v="TEXTUALIDADES DESDE TRES PUNTOS CARDINALES: AGENCIAS Y REPRESENTACIONES DE PERTENENCIA COLECTIVA AFRO E INDÍGENA"/>
    <s v="SALIDA DE CAMPO GASTOS DE VIAJE HOSPEDAJE GUAINIA"/>
    <n v="4"/>
    <m/>
    <m/>
    <m/>
    <s v="CONTRATACIÓN DIRECTA"/>
    <x v="1"/>
    <n v="800000"/>
    <s v="C-3302-1603-2-0-3302070"/>
    <n v="201891000290"/>
    <x v="0"/>
    <x v="1"/>
    <s v="REALIZAR ACTIVIDADES DE CONSOLIDACIÓN ACADÉMICA"/>
    <s v="NO"/>
    <n v="0"/>
    <s v="N.A"/>
    <s v="GESTIÓN CONTRACTUAL"/>
    <s v="JULIO BERNAL"/>
    <n v="3422121"/>
  </r>
  <r>
    <n v="80111621"/>
    <s v="ACADÉMICA"/>
    <x v="1"/>
    <s v="INVESTIGACIÓN"/>
    <s v="DOCUMENTOS PARA LA HISTORIA LINGÜÍSTICA DE COLOMBIA SIGLOS XVI- XIX SEGUNDA FASE (2021-2022) VIGENCIA 2022"/>
    <s v="CONTRATO INVESTIGADOR"/>
    <n v="1"/>
    <m/>
    <n v="10"/>
    <m/>
    <s v="CONTRATACIÓN DIRECTA"/>
    <x v="0"/>
    <n v="32923800"/>
    <s v="C-3302-1603-2-0-3302001"/>
    <n v="201891000290"/>
    <x v="0"/>
    <x v="2"/>
    <s v="DISEÑAR, APROBAR Y EJECUTAR LOS PROYECTOS DE INVESTIGACIÓN"/>
    <s v="NO"/>
    <n v="0"/>
    <s v="N.A"/>
    <s v="GESTIÓN CONTRACTUAL"/>
    <s v="JULIO BERNAL"/>
    <n v="3422121"/>
  </r>
  <r>
    <n v="80111621"/>
    <s v="ACADÉMICA"/>
    <x v="1"/>
    <s v="INVESTIGACIÓN"/>
    <s v="DOCUMENTOS PARA LA HISTORIA LINGÜÍSTICA DE COLOMBIA SIGLOS XVI- XIX SEGUNDA FASE (2021-2022) VIGENCIA 2022"/>
    <s v="CONTRATO ASISTENTE DE INVESTIGACIÓN"/>
    <n v="1"/>
    <m/>
    <n v="10"/>
    <m/>
    <s v="CONTRATACIÓN DIRECTA"/>
    <x v="0"/>
    <n v="23400000"/>
    <s v="C-3302-1603-2-0-3302001"/>
    <n v="201891000290"/>
    <x v="0"/>
    <x v="2"/>
    <s v="DISEÑAR, APROBAR Y EJECUTAR LOS PROYECTOS DE INVESTIGACIÓN"/>
    <s v="NO"/>
    <n v="0"/>
    <s v="N.A"/>
    <s v="GESTIÓN CONTRACTUAL"/>
    <s v="JULIO BERNAL"/>
    <n v="3422121"/>
  </r>
  <r>
    <n v="82121900"/>
    <s v="ACADÉMICA"/>
    <x v="6"/>
    <s v="APROPIACIÓN SOCIAL DEL CONOCIMIENTO"/>
    <s v="PROYECTO DE EMPRENDIMIENTO DE LA IMPRENTA PATRIÓTICA"/>
    <s v="CONTRATACIÓN DE APOYO PARA ENCUADERNACIÓN EN PASTA DURA PARA LOS PROYECTOS DE DIRECCIÓN DE PATRIMONIO Y SELLO EDITORIAL"/>
    <n v="1"/>
    <n v="1"/>
    <n v="9"/>
    <n v="0"/>
    <s v="CONTRATACIÓN DIRECTA"/>
    <x v="0"/>
    <n v="16200000"/>
    <s v="C-3302-1603-2-0-3302070"/>
    <n v="201891000290"/>
    <x v="0"/>
    <x v="1"/>
    <s v="REALIZAR ACTIVIDADES DE CONSOLIDACIÓN ACADÉMICA"/>
    <s v="NO"/>
    <n v="0"/>
    <s v="N.A"/>
    <s v="GESTIÓN CONTRACTUAL"/>
    <s v="CESAR BUITRAGO"/>
    <n v="3422121"/>
  </r>
  <r>
    <n v="86101700"/>
    <s v="ACADÉMICA"/>
    <x v="8"/>
    <s v="FORMACIÓN"/>
    <s v="SUBDIRECCIÓN ACADÉMICA"/>
    <s v="EVALUADORES CUENTOS LA PERA DE ORO"/>
    <n v="7"/>
    <n v="7"/>
    <n v="1"/>
    <n v="0"/>
    <s v="CONTRATACIÓN DIRECTA"/>
    <x v="0"/>
    <n v="20458401"/>
    <s v="C-3302-1603-2-0-3302066"/>
    <n v="201891000290"/>
    <x v="0"/>
    <x v="4"/>
    <s v="PROGRAMAR, DISEÑAR Y OFERTAR PROGRAMAS DE EDUCACIÓN INFORMAL"/>
    <s v="NO"/>
    <n v="0"/>
    <s v="N.A"/>
    <s v="GESTIÓN CONTRACTUAL"/>
    <s v="JUAN MANUEL ESPINOSA RESTREPO"/>
    <n v="3422121"/>
  </r>
  <r>
    <n v="86101700"/>
    <s v="ACADÉMICA"/>
    <x v="8"/>
    <s v="FORMACIÓN"/>
    <s v="SUBDIRECCIÓN ACADÉMICA"/>
    <s v="EVALUADORES CUENTOS LA PERA DE ORO"/>
    <n v="1"/>
    <n v="1"/>
    <m/>
    <m/>
    <s v="CONTRATACIÓN DIRECTA"/>
    <x v="0"/>
    <n v="4541599"/>
    <s v="C-3302-1603-2-0-3302070"/>
    <n v="201891000290"/>
    <x v="0"/>
    <x v="1"/>
    <s v="REALIZAR ACTIVIDADES DE CONSOLIDACIÓN ACADÉMICA"/>
    <s v="NO"/>
    <n v="0"/>
    <s v="N.A"/>
    <s v="GESTIÓN CONTRACTUAL"/>
    <s v="JUAN MANUEL ESPINOSA RESTREPO"/>
    <n v="3422121"/>
  </r>
  <r>
    <n v="5600000"/>
    <s v="ACADÉMICA"/>
    <x v="6"/>
    <s v="APROPIACIÓN SOCIAL DEL CONOCIMIENTO"/>
    <s v="EDITORIAL"/>
    <s v="PAGO ELABORACIÓN Y MONTAJE STAND PARA LA FERIA INTERNACIONAL DEL LIBRO DE BOGOTÁ 2022"/>
    <n v="3"/>
    <n v="3"/>
    <n v="2"/>
    <n v="0"/>
    <s v="MINIMA CUANTÍA"/>
    <x v="1"/>
    <n v="20000000"/>
    <s v="C-3302-1603-2-0-3302070"/>
    <n v="201891000290"/>
    <x v="0"/>
    <x v="1"/>
    <s v="REALIZAR ACTIVIDADES DE CONSOLIDACIÓN ACADÉMICA"/>
    <s v="NO"/>
    <n v="0"/>
    <s v="N.A"/>
    <s v="GESTIÓN CONTRACTUAL"/>
    <s v="JUAN MANUEL ESPINOSA RESTREPO"/>
    <n v="3422121"/>
  </r>
  <r>
    <n v="82140000"/>
    <s v="ACADÉMICA"/>
    <x v="6"/>
    <s v="APROPIACIÓN SOCIAL DEL CONOCIMIENTO"/>
    <s v="SELLO EDITORIAL E IMPRENTA PATRIÓTICA"/>
    <s v="CONTRATACIÓN DE DISEÑO PARA PROYECTOS ESPECIALES"/>
    <n v="2"/>
    <n v="2"/>
    <n v="10"/>
    <n v="0"/>
    <s v="CONTRATACIÓN DIRECTA"/>
    <x v="0"/>
    <n v="25000000"/>
    <s v="C-3399-1603-4-0-3399016"/>
    <n v="201891000284"/>
    <x v="2"/>
    <x v="6"/>
    <s v=" REALIZAR MANTENIMIENTO A ELEMENTOS NO ESTRUCTURALES DE LAS SEDES "/>
    <s v="NO"/>
    <n v="0"/>
    <s v="N.A"/>
    <s v="GESTIÓN CONTRACTUAL"/>
    <s v="CESAR BUITRAGO"/>
    <n v="3422121"/>
  </r>
  <r>
    <n v="82111801"/>
    <s v="ACADÉMICA"/>
    <x v="8"/>
    <s v="FORMACIÓN"/>
    <s v="SUBDIRECCIÓN ACADÉMICA"/>
    <s v="CONTRATACIÓN  PARA PRESTAR LOS SERVICIOS PROFESIONALES ESPECIALIZADOS EN COMUNICACIÓN SOCIAL -ÉNFASIS EN LÍNEA EDITORIAL- COMO EDITORA ASISTENTE DE LA REVISTA THESAURUS "/>
    <n v="1"/>
    <n v="1"/>
    <n v="10"/>
    <n v="0"/>
    <s v="CONTRATACIÓN DIRECTA"/>
    <x v="0"/>
    <n v="23700676"/>
    <s v="C-3302-1603-2-0-3302070"/>
    <n v="201891000290"/>
    <x v="0"/>
    <x v="1"/>
    <s v="REALIZAR ACTIVIDADES DE CONSOLIDACIÓN ACADÉMICA"/>
    <s v="NO"/>
    <n v="0"/>
    <s v="N.A"/>
    <s v="GESTIÓN CONTRACTUAL"/>
    <s v="JUAN MANUEL ESPINOSA RESTREPO"/>
    <n v="3422121"/>
  </r>
  <r>
    <s v="82121603; 82121503"/>
    <s v="ACADÉMICA"/>
    <x v="6"/>
    <s v="APROPIACIÓN SOCIAL DEL CONOCIMIENTO"/>
    <s v="SELLO EDITORIAL E IMPRENTA PATRIÓTICA"/>
    <s v="SERVICIOS DE IMPRESIÓN EXTERNA Y QUEMADO DE PLANCHAS, SERVICIOS CTP"/>
    <n v="2"/>
    <n v="2"/>
    <n v="10"/>
    <n v="0"/>
    <s v="MINIMA CUANTÍA"/>
    <x v="0"/>
    <n v="30000000"/>
    <s v="C-3302-1603-2-0-3302070"/>
    <n v="201891000290"/>
    <x v="0"/>
    <x v="1"/>
    <s v="REALIZAR ACTIVIDADES DE CONSOLIDACIÓN ACADÉMICA"/>
    <s v="NO"/>
    <n v="0"/>
    <s v="N.A"/>
    <s v="GESTIÓN CONTRACTUAL"/>
    <s v="CESAR BUITRAGO"/>
    <n v="3422121"/>
  </r>
  <r>
    <s v="14120000; 14129600; 14117900; 60121808; 21271703; 6012132"/>
    <s v="ACADÉMICA"/>
    <x v="6"/>
    <s v="APROPIACIÓN SOCIAL DEL CONOCIMIENTO"/>
    <s v="SELLO EDITORIAL E IMPRENTA PATRIÓTICA"/>
    <s v="COMPRA DE INSUMOS (PAPELES, CARTULINAS, LAVADORES ECOLÓGICOS DE MÁQUINAS IMPRESORAS, PAPELES FINOS, LECHE DE BURRA (LIMPIADOR DE PLANCHAS), CARTONES DE ENCUADERNACIÓN FINA, ESTOPA PARA LIMPIEZA DE RODILLOS, TINTAS)."/>
    <n v="2"/>
    <n v="2"/>
    <n v="2"/>
    <n v="0"/>
    <s v="MINIMA CUANTÍA"/>
    <x v="0"/>
    <n v="18000000"/>
    <s v="C-3302-1603-2-0-3302070"/>
    <n v="201891000290"/>
    <x v="0"/>
    <x v="1"/>
    <s v="REALIZAR ACTIVIDADES DE CONSOLIDACIÓN ACADÉMICA"/>
    <s v="NO"/>
    <n v="0"/>
    <s v="N.A"/>
    <s v="GESTIÓN CONTRACTUAL"/>
    <s v="CESAR BUITRAGO"/>
    <n v="3422121"/>
  </r>
  <r>
    <n v="83121700"/>
    <s v="ACADÉMICA"/>
    <x v="5"/>
    <s v="INFORMACIÓN Y COMUNICACIÓN"/>
    <s v="COMUNICACIONES Y PRENSA "/>
    <s v="SERVICIOS DE ASESORÍA ESTRATÉGICA EN COMUNICACIONES"/>
    <n v="1"/>
    <n v="1"/>
    <n v="8"/>
    <m/>
    <s v="CONTRATACIÓN DIRECTA"/>
    <x v="0"/>
    <n v="57148025.454545453"/>
    <s v="C-3302-1603-2-0-3302070"/>
    <n v="201891000290"/>
    <x v="0"/>
    <x v="1"/>
    <s v="REALIZAR ACTIVIDADES DE CONSOLIDACIÓN ACADÉMICA"/>
    <s v="NO"/>
    <n v="0"/>
    <s v="N.A"/>
    <s v="GESTIÓN CONTRACTUAL"/>
    <s v="JUAN MANUEL ESPINOSA RESTREPO"/>
    <n v="3422121"/>
  </r>
  <r>
    <n v="83121703"/>
    <s v="ACADÉMICA"/>
    <x v="5"/>
    <s v="INFORMACIÓN Y COMUNICACIÓN"/>
    <s v="COMUNICACIONES Y PRENSA "/>
    <s v="SERVICIO DE GESTOR DE CONTENIDOS EN INTERNET (REDES SOCIALES)"/>
    <n v="1"/>
    <n v="1"/>
    <n v="11"/>
    <n v="0"/>
    <s v="CONTRATACIÓN DIRECTA"/>
    <x v="0"/>
    <n v="26540473"/>
    <s v="C-3302-1603-2-0-3302070"/>
    <n v="201891000290"/>
    <x v="0"/>
    <x v="1"/>
    <s v="REALIZAR ACTIVIDADES DE CONSOLIDACIÓN ACADÉMICA"/>
    <s v="NO"/>
    <n v="0"/>
    <s v="N.A"/>
    <s v="GESTIÓN CONTRACTUAL"/>
    <s v="JUAN MANUEL ESPINOSA RESTREPO"/>
    <n v="3422121"/>
  </r>
  <r>
    <n v="83121703"/>
    <s v="ACADÉMICA"/>
    <x v="5"/>
    <s v="INFORMACIÓN Y COMUNICACIÓN"/>
    <s v="COMUNICACIONES Y PRENSA "/>
    <s v="SERVICIO DE GESTOR DE CONTENIDOS EN INTERNET (REDES SOCIALES)"/>
    <n v="1"/>
    <n v="1"/>
    <m/>
    <m/>
    <s v="CONTRATACIÓN DIRECTA"/>
    <x v="0"/>
    <n v="10199527"/>
    <s v="C-3302-1603-2-0-3302068"/>
    <n v="201891000290"/>
    <x v="0"/>
    <x v="5"/>
    <s v="DISEÑAR, MONTAR, EDITAR, GRABAR Y PRODUCIR LA PROGRAMACIÓN"/>
    <s v="NO"/>
    <n v="0"/>
    <s v="N.A"/>
    <s v="GESTIÓN CONTRACTUAL"/>
    <s v="JUAN MANUEL ESPINOSA RESTREPO"/>
    <n v="3422121"/>
  </r>
  <r>
    <s v="80000000; 80111600 "/>
    <s v="ACADÉMICA"/>
    <x v="2"/>
    <s v="INVESTIGACIÓN"/>
    <s v="PROCESAMIENTO TÉCNICO DEL MATERIAL BIBLIOGRÁFICO"/>
    <s v="PROCESAMIENTO TÉCNICO (CATALOGACIÓN Y CLASIFICACIÓN) DEL MATERIAL BIBLIOGRÁFICO (NUEVO Y RETROSPECTIVO) RECIBIDO EN LA BIBLIOTECA, E INGRESO AL SISTEMA DE INFORMACIÓN BIBLIOGRÁFICO KOHA Y ORGANIZACIÓN DE LOS ARCHIVOS PATRIMONIALES."/>
    <n v="1"/>
    <n v="1"/>
    <n v="10"/>
    <n v="15"/>
    <s v="CONTRATACIÓN DIRECTA"/>
    <x v="0"/>
    <n v="44945452"/>
    <s v="C-3302-1603-2-0-3302070"/>
    <n v="201891000290"/>
    <x v="0"/>
    <x v="1"/>
    <s v="REALIZAR ACTIVIDADES DE CONSOLIDACIÓN ACADÉMICA"/>
    <s v="NO"/>
    <n v="0"/>
    <s v="N.A"/>
    <s v="GESTIÓN CONTRACTUAL"/>
    <s v="LUZ CLEMENCIA MEJÍA MUÑOZ"/>
    <n v="3422121"/>
  </r>
  <r>
    <s v="80000000; 80111600 "/>
    <s v="ACADÉMICA"/>
    <x v="2"/>
    <s v="INVESTIGACIÓN"/>
    <s v="PROCESAMIENTO TÉCNICO DEL MATERIAL BIBLIOGRÁFICO"/>
    <s v="NORMALIZAR Y DEPURAR  2.000 TÍTULOS RETROSPECTIVOS, ASI COMO TAMBIEN VALIDAR Y  ASIGNAR  EL PRECIO, CON EL FIN DE AVANZAR EN EL TEMA DEL CONTROL CONTABLE DE LAS COLECCIONES EN LA BASE DE DATOS DATOS BIBLIOGRÁFICA."/>
    <n v="1"/>
    <n v="1"/>
    <n v="10"/>
    <n v="15"/>
    <s v="CONTRATACIÓN DIRECTA"/>
    <x v="0"/>
    <n v="21630000"/>
    <s v="C-3301-1603-2-0-3301085"/>
    <n v="2018011000319"/>
    <x v="1"/>
    <x v="3"/>
    <s v="ADQUIRIR LAS HERRAMIENTAS TECNOLÓGICAS PARA GARANTIZAR EL FUNCIONAMIENTO DE LA BIBLIOTECA"/>
    <s v="NO"/>
    <n v="0"/>
    <s v="N.A"/>
    <s v="GESTIÓN CONTRACTUAL"/>
    <s v="LUZ CLEMENCIA MEJÍA MUÑOZ"/>
    <n v="3422121"/>
  </r>
  <r>
    <s v="80000000; 80111600 "/>
    <s v="ACADÉMICA"/>
    <x v="2"/>
    <s v="INVESTIGACIÓN"/>
    <s v="PROCESAMIENTO TÉCNICO DEL MATERIAL BIBLIOGRÁFICO"/>
    <s v="REALIZAR LA PREPARACIÓN FÍSICA (ROTULADO, SELLADO, ASIGNACIÓN DE CÓDIGO DE BARRAS Y DIPOSITIVOS DE CONTROL) A 1300 ÍTEMS DEL MATERIAL BIBLIOGRÁFICO ADQUIRIDO, ASÍ COMO DEL RETOSPECTIVO NORMALIZADO."/>
    <n v="1"/>
    <n v="1"/>
    <n v="10"/>
    <n v="15"/>
    <s v="CONTRATACIÓN DIRECTA"/>
    <x v="0"/>
    <n v="20974545"/>
    <s v="C-3301-1603-2-0-3301085"/>
    <n v="2018011000319"/>
    <x v="1"/>
    <x v="3"/>
    <s v="ADQUIRIR LAS HERRAMIENTAS TECNOLÓGICAS PARA GARANTIZAR EL FUNCIONAMIENTO DE LA BIBLIOTECA"/>
    <s v="NO"/>
    <n v="0"/>
    <s v="N.A"/>
    <s v="GESTIÓN CONTRACTUAL"/>
    <s v="LUZ CLEMENCIA MEJÍA MUÑOZ"/>
    <n v="3422121"/>
  </r>
  <r>
    <n v="83121703"/>
    <s v="ACADÉMICA"/>
    <x v="5"/>
    <s v="INFORMACIÓN Y COMUNICACIÓN"/>
    <s v="COMUNICACIONES Y PRENSA "/>
    <s v="SERVICIOS DE COMUNICACIÓN INTERNA Y ORGANIZACIONAL "/>
    <n v="1"/>
    <n v="1"/>
    <n v="10"/>
    <n v="15"/>
    <s v="CONTRATACIÓN DIRECTA"/>
    <x v="0"/>
    <n v="50127525"/>
    <s v="C-3302-1603-2-0-3302070"/>
    <n v="201891000290"/>
    <x v="0"/>
    <x v="1"/>
    <s v="REALIZAR ACTIVIDADES DE CONSOLIDACIÓN ACADÉMICA"/>
    <s v="NO"/>
    <n v="0"/>
    <s v="N.A"/>
    <s v="GESTIÓN CONTRACTUAL"/>
    <s v="JUAN MANUEL ESPINOSA RESTREPO"/>
    <n v="3422121"/>
  </r>
  <r>
    <n v="82141500"/>
    <s v="ACADÉMICA"/>
    <x v="5"/>
    <s v="INFORMACIÓN Y COMUNICACIÓN"/>
    <s v="COMUNICACIONES Y PRENSA "/>
    <s v="SERVICIOS DE DESARROLLADOR MULTIMEDIA Y DISEÑADOR GRÁFICO "/>
    <n v="1"/>
    <n v="1"/>
    <n v="10"/>
    <n v="15"/>
    <s v="CONTRATACIÓN DIRECTA"/>
    <x v="0"/>
    <n v="38319708"/>
    <s v="C-3302-1603-2-0-3302070"/>
    <n v="201891000290"/>
    <x v="0"/>
    <x v="1"/>
    <s v="REALIZAR ACTIVIDADES DE CONSOLIDACIÓN ACADÉMICA"/>
    <s v="NO"/>
    <n v="0"/>
    <s v="N.A"/>
    <s v="GESTIÓN CONTRACTUAL"/>
    <s v="JUAN MANUEL ESPINOSA RESTREPO"/>
    <n v="3422121"/>
  </r>
  <r>
    <n v="83121702"/>
    <s v="ACADÉMICA"/>
    <x v="5"/>
    <s v="INFORMACIÓN Y COMUNICACIÓN"/>
    <s v="COMUNICACIONES Y PRENSA "/>
    <s v="SERVICIOS DE PRODUCCIÓN RADIAL Y APOYO EN SONIDO"/>
    <n v="1"/>
    <n v="1"/>
    <n v="10"/>
    <n v="15"/>
    <s v="CONTRATACIÓN DIRECTA"/>
    <x v="0"/>
    <n v="31515451.227272727"/>
    <s v="C-3302-1603-2-0-3302068"/>
    <n v="201891000290"/>
    <x v="0"/>
    <x v="5"/>
    <s v="DISEÑAR, MONTAR, EDITAR, GRABAR Y PRODUCIR LA PROGRAMACIÓN"/>
    <s v="NO"/>
    <n v="0"/>
    <s v="N.A"/>
    <s v="GESTIÓN CONTRACTUAL"/>
    <s v="JUAN MANUEL ESPINOSA RESTREPO"/>
    <n v="3422121"/>
  </r>
  <r>
    <n v="83121702"/>
    <s v="ACADÉMICA"/>
    <x v="5"/>
    <s v="INFORMACIÓN Y COMUNICACIÓN"/>
    <s v="COMUNICACIONES Y PRENSA "/>
    <s v="SERVICIOS DE COORDINACIÓN RADIAL"/>
    <n v="1"/>
    <n v="1"/>
    <n v="10"/>
    <n v="15"/>
    <s v="CONTRATACIÓN DIRECTA"/>
    <x v="0"/>
    <n v="65074624.36363636"/>
    <s v="C-3302-1603-2-0-3302068"/>
    <n v="201891000290"/>
    <x v="0"/>
    <x v="5"/>
    <s v="DISEÑAR, MONTAR, EDITAR, GRABAR Y PRODUCIR LA PROGRAMACIÓN"/>
    <s v="NO"/>
    <n v="0"/>
    <s v="N.A"/>
    <s v="GESTIÓN CONTRACTUAL"/>
    <s v="JUAN MANUEL ESPINOSA RESTREPO"/>
    <n v="3422121"/>
  </r>
  <r>
    <s v="82121502; 80111601"/>
    <s v="ACADÉMICA"/>
    <x v="6"/>
    <s v="APROPIACIÓN SOCIAL DEL CONOCIMIENTO"/>
    <s v="PROYECTO DE EMPRENDIMIENTO DE LA IMPRENTA PATRIÓTICA"/>
    <s v="CONTRATACIÓN DE SERVICIOS DE LINOTIPIA PARA LAS OBRAS QUE SE PRODUCEN EN LA IMPRENTA PATRIÓTICA DEL INSTITUTO C ARO Y CUERVO."/>
    <n v="1"/>
    <n v="1"/>
    <n v="10"/>
    <n v="15"/>
    <s v="CONTRATACIÓN DIRECTA"/>
    <x v="0"/>
    <n v="31747433"/>
    <s v="C-3302-1603-2-0-3302070"/>
    <n v="201891000290"/>
    <x v="0"/>
    <x v="1"/>
    <s v="REALIZAR ACTIVIDADES DE CONSOLIDACIÓN ACADÉMICA"/>
    <s v="NO"/>
    <n v="0"/>
    <s v="N.A"/>
    <s v="GESTIÓN CONTRACTUAL"/>
    <s v="CESAR BUITRAGO"/>
    <n v="3422121"/>
  </r>
  <r>
    <s v="82121603; 82121503"/>
    <s v="ACADÉMICA"/>
    <x v="6"/>
    <s v="APROPIACIÓN SOCIAL DEL CONOCIMIENTO"/>
    <s v="SELLO EDITORIAL E IMPRENTA PATRIÓTICA"/>
    <s v="CONTRATACIÓN DE SERVICIOS DE APOYO EN TAREAS DE DIAGRAMACIÓN DIGITAL Y TAREAS ADMINISTRATRIVAS PARA EL SELLO EDITORIAL E IMPRENTA PATRIÓTICA DEL ICC"/>
    <n v="1"/>
    <n v="1"/>
    <n v="10"/>
    <n v="15"/>
    <s v="CONTRATACIÓN DIRECTA"/>
    <x v="0"/>
    <n v="22601782"/>
    <s v="C-3302-1603-2-0-3302070"/>
    <n v="201891000290"/>
    <x v="0"/>
    <x v="1"/>
    <s v="REALIZAR ACTIVIDADES DE CONSOLIDACIÓN ACADÉMICA"/>
    <s v="NO"/>
    <n v="0"/>
    <s v="N.A"/>
    <s v="GESTIÓN CONTRACTUAL"/>
    <s v="CESAR BUITRAGO"/>
    <n v="3422121"/>
  </r>
  <r>
    <n v="93141708"/>
    <s v="ACADÉMICA"/>
    <x v="7"/>
    <s v="APROPIACIÓN SOCIAL DEL CONOCIMIENTO"/>
    <s v="GESTIÓN DE MUSEOS"/>
    <s v="CONTRATACIÓN PARA PRESTAR LOS SERVICIOS PROFESIONALES PARA IMPLEMENTAR EL PLAN MUSEOLÓGICO QUE REACTIVE LOS MUSEOS DEL INSTITUTO CARO Y CUERVO"/>
    <n v="1"/>
    <n v="1"/>
    <n v="10"/>
    <n v="15"/>
    <s v="CONTRATACIÓN DIRECTA"/>
    <x v="0"/>
    <n v="72560527.772727266"/>
    <s v="C-3302-1603-2-0-3302004"/>
    <n v="201891000290"/>
    <x v="0"/>
    <x v="7"/>
    <s v="DISEÑAR, PREPARAR Y REALIZAR EXPOSICIONES EN SALAS MUSEALES"/>
    <s v="NO"/>
    <n v="0"/>
    <s v="N.A"/>
    <s v="GESTIÓN CONTRACTUAL"/>
    <s v="JUAN MANUEL ESPINOSA RESTREPO"/>
    <n v="3422121"/>
  </r>
  <r>
    <n v="93141708"/>
    <s v="ACADÉMICA"/>
    <x v="7"/>
    <s v="APROPIACIÓN SOCIAL DEL CONOCIMIENTO"/>
    <s v="GESTIÓN DE MUSEOS"/>
    <s v="CONTRATACIÓN PARA PRESTAR LOS SERVICIOS PROFESIONALES PARA IMPLEMENTAR ACCIONES DE INVESTIGACIÓN Y CURADURÍA DE LAS COLECCIONES MUEBLES QUE REACTIVE LOS MUSEOS DEL INSTITUTO CARO Y CUERVO"/>
    <n v="1"/>
    <n v="1"/>
    <n v="10"/>
    <n v="15"/>
    <s v="CONTRATACIÓN DIRECTA"/>
    <x v="0"/>
    <n v="64252952.590909094"/>
    <s v="C-3302-1603-2-0-3302004"/>
    <n v="201891000290"/>
    <x v="0"/>
    <x v="7"/>
    <s v="DISEÑAR, PREPARAR Y REALIZAR EXPOSICIONES EN SALAS MUSEALES"/>
    <s v="NO"/>
    <n v="0"/>
    <s v="N.A"/>
    <s v="GESTIÓN CONTRACTUAL"/>
    <s v="JUAN MANUEL ESPINOSA RESTREPO "/>
    <n v="3422121"/>
  </r>
  <r>
    <n v="93141708"/>
    <s v="ACADÉMICA"/>
    <x v="7"/>
    <s v="APROPIACIÓN SOCIAL DEL CONOCIMIENTO"/>
    <s v="GESTIÓN DE MUSEOS"/>
    <s v="CONTRATACIÓN PARA PRESTAR LOS SERVICIOS PROFESIONALES PARA IMPLEMENTAR ACCIONES DE CONSERVACIÓN PREVENTIVA QUE REACTIVE LOS MUSEOS DEL INSTITUTO CARO Y CUERVO"/>
    <n v="1"/>
    <n v="1"/>
    <n v="10"/>
    <n v="15"/>
    <s v="CONTRATACIÓN DIRECTA"/>
    <x v="0"/>
    <n v="64252952.590909094"/>
    <s v="C-3302-1603-2-0-3302004"/>
    <n v="201891000290"/>
    <x v="0"/>
    <x v="7"/>
    <s v="DISEÑAR, PREPARAR Y REALIZAR EXPOSICIONES EN SALAS MUSEALES"/>
    <s v="NO"/>
    <n v="0"/>
    <s v="N.A"/>
    <s v="GESTIÓN CONTRACTUAL"/>
    <s v="JUAN MANUEL ESPINOSA RESTREPO "/>
    <n v="3422121"/>
  </r>
  <r>
    <n v="93141708"/>
    <s v="ACADÉMICA"/>
    <x v="7"/>
    <s v="APROPIACIÓN SOCIAL DEL CONOCIMIENTO"/>
    <s v="GESTIÓN DE MUSEOS"/>
    <s v="CONTRATACIÓN PARA PRESTAR LOS SERVICIOS TÉCNICOS PARA IMPLEMENTAR ACCIONES DE COMUNICACIÓN EDUCATIVA, GENERAR Y ACTUALIZAR DE CONTENIDOS EN EL SITIO WEB DE GESTIÓN DE MUSEOS Y LAS REDES SOCIALES DEL ICC"/>
    <n v="1"/>
    <n v="1"/>
    <n v="10"/>
    <n v="15"/>
    <s v="CONTRATACIÓN DIRECTA"/>
    <x v="0"/>
    <n v="37550073.272727273"/>
    <s v="C-3302-1603-2-0-3302004"/>
    <n v="201891000290"/>
    <x v="0"/>
    <x v="7"/>
    <s v="DISEÑAR, PREPARAR Y REALIZAR EXPOSICIONES EN SALAS MUSEALES"/>
    <s v="NO"/>
    <n v="0"/>
    <s v="N.A"/>
    <s v="GESTIÓN CONTRACTUAL"/>
    <s v="JUAN MANUEL ESPINOSA RESTREPO "/>
    <n v="3422121"/>
  </r>
  <r>
    <s v="93141708; 80111617"/>
    <s v="ACADÉMICA"/>
    <x v="7"/>
    <s v="APROPIACIÓN SOCIAL DEL CONOCIMIENTO"/>
    <s v="GESTIÓN DE MUSEOS"/>
    <s v="SERVICIOS PROFESIONALES ARQUITECTO MUSEÓGRAFO "/>
    <n v="1"/>
    <n v="1"/>
    <n v="10"/>
    <n v="15"/>
    <s v="CONTRATACIÓN DIRECTA"/>
    <x v="1"/>
    <n v="37550073.272727273"/>
    <s v="C-3399-1603-4-0-3399016-2"/>
    <n v="2018011000284"/>
    <x v="2"/>
    <x v="6"/>
    <s v=" REALIZAR MANTENIMIENTO A ELEMENTOS NO ESTRUCTURALES DE LAS SEDES "/>
    <s v="NO"/>
    <n v="0"/>
    <s v="N.A"/>
    <s v="GESTIÓN CONTRACTUAL"/>
    <s v="JUAN MANUEL ESPINOSA RESTREPO"/>
    <n v="3422121"/>
  </r>
  <r>
    <s v="93141708; 80111617"/>
    <s v="ACADÉMICA"/>
    <x v="7"/>
    <s v="APROPIACIÓN SOCIAL DEL CONOCIMIENTO"/>
    <s v="GESTIÓN DE MUSEOS"/>
    <s v="SERVICIOS DE ASESORIA ARQUITÉCTONICA PARA EL PROYECTO MUSEOGRÁFICO "/>
    <n v="1"/>
    <n v="1"/>
    <n v="10"/>
    <n v="15"/>
    <s v="CONTRATACIÓN DIRECTA"/>
    <x v="0"/>
    <n v="17314755.818181816"/>
    <s v="C-3302-1603-2-0-3302004"/>
    <n v="201891000290"/>
    <x v="0"/>
    <x v="7"/>
    <s v="DISEÑAR, PREPARAR Y REALIZAR EXPOSICIONES EN SALAS MUSEALES"/>
    <s v="NO"/>
    <n v="0"/>
    <s v="N.A"/>
    <s v="GESTIÓN CONTRACTUAL"/>
    <s v="JUAN MANUEL ESPINOSA RESTREPO "/>
    <n v="3422121"/>
  </r>
  <r>
    <n v="93141708"/>
    <s v="ACADÉMICA"/>
    <x v="7"/>
    <s v="APROPIACIÓN SOCIAL DEL CONOCIMIENTO"/>
    <s v="GESTIÓN DE MUSEOS"/>
    <s v="SERVICIOS PROFESIONALES DE DISEÑO GRÁFICO MUSEOGRÁFICO"/>
    <n v="1"/>
    <n v="1"/>
    <n v="10"/>
    <n v="15"/>
    <s v="CONTRATACIÓN DIRECTA"/>
    <x v="0"/>
    <n v="12214203.909090899"/>
    <s v="C-3302-1603-2-0-3302004"/>
    <n v="201891000290"/>
    <x v="0"/>
    <x v="7"/>
    <s v="DISEÑAR, PREPARAR Y REALIZAR EXPOSICIONES EN SALAS MUSEALES"/>
    <s v="NO"/>
    <n v="0"/>
    <s v="N.A"/>
    <s v="GESTIÓN CONTRACTUAL"/>
    <s v="JUAN MANUEL ESPINOSA RESTREPO "/>
    <n v="3422121"/>
  </r>
  <r>
    <n v="93141709"/>
    <s v="ACADÉMICA"/>
    <x v="7"/>
    <s v="APROPIACIÓN SOCIAL DEL CONOCIMIENTO"/>
    <s v="GESTIÓN DE MUSEOS"/>
    <s v="SERVICIOS PROFESIONALES DE DISEÑO GRÁFICO MUSEOGRÁFICO"/>
    <n v="1"/>
    <n v="1"/>
    <n v="10"/>
    <n v="15"/>
    <s v="CONTRATACIÓN DIRECTA"/>
    <x v="0"/>
    <n v="10694888"/>
    <s v="C-3302-1603-2-0-3302068"/>
    <n v="201891000290"/>
    <x v="0"/>
    <x v="1"/>
    <s v="REALIZAR ACTIVIDADES DE CONSOLIDACIÓN ACADÉMICA"/>
    <s v="NO"/>
    <n v="1"/>
    <s v="N.A"/>
    <s v="GESTIÓN CONTRACTUAL"/>
    <s v="JUAN MANUEL ESPINOSA RESTREPO "/>
    <n v="3422121"/>
  </r>
  <r>
    <n v="86141501"/>
    <s v="ACADÉMICA"/>
    <x v="8"/>
    <s v="DIRECCIONAMIENTO ESTRATÉGICO"/>
    <s v="REGISTRO CALIFICADO"/>
    <s v="CONTRATACIÓN PARA PRESTAR LOS SERVICIOS PROFESIONALES PARA LA SOLICITUD DE REGISTRO CALIFICADO INSTITUCIONAL Y APRECIACIÓN DE CONDICIONES INICIALES INSTITUCIONALES"/>
    <n v="1"/>
    <n v="1"/>
    <n v="10"/>
    <n v="15"/>
    <s v="CONTRATACIÓN DIRECTA"/>
    <x v="0"/>
    <n v="62008391"/>
    <s v="C-3399-1603-4-0-3399056"/>
    <n v="201891000284"/>
    <x v="2"/>
    <x v="8"/>
    <s v=" DISEÑAR HERRAMIENTAS PARA ORIENTAR LA PLANEACIÓN INSTITUCIONAL "/>
    <s v="NO"/>
    <n v="0"/>
    <s v="N.A"/>
    <s v="GESTIÓN CONTRACTUAL"/>
    <s v="JUAN MANUEL ESPINOSA RESTREPO"/>
    <n v="3422121"/>
  </r>
  <r>
    <n v="86141501"/>
    <s v="ACADÉMICA"/>
    <x v="8"/>
    <s v="FORMACIÓN"/>
    <s v="SUBDIRECCIÓN ACADÉMICA"/>
    <s v="CONTRATACIÓN PARA LA PRESTACIÓN DE SERVICIOS PROFESIONALES EN EL DESARROLLO DE ACTIVIDADES DE RELACIÓN CON COMUNIDADES ÉTNICAS, APOYO EN EL DESARROLLO DE EVENTOS ACADÉMICOS Y CULTURALES, Y ACTIVIDADES DE EDUCACIÓN CONTINUA "/>
    <n v="1"/>
    <n v="1"/>
    <n v="10"/>
    <n v="15"/>
    <s v="CONTRATACIÓN DIRECTA"/>
    <x v="0"/>
    <n v="29772712"/>
    <s v="C-3302-1603-2-0-3302067"/>
    <n v="201891000290"/>
    <x v="0"/>
    <x v="0"/>
    <s v="EJECUTAR PROGRAMAS DE POSGRADO CON REGISTRO CALIFICADO VIGENTE"/>
    <s v="NO"/>
    <n v="0"/>
    <s v="N.A"/>
    <s v="GESTIÓN CONTRACTUAL"/>
    <s v="JUAN MANUEL ESPINOSA RESTREPO"/>
    <n v="3422121"/>
  </r>
  <r>
    <n v="86101710"/>
    <s v="ACADÉMICA"/>
    <x v="8"/>
    <s v="FORMACIÓN"/>
    <s v="CANCILLERÍA"/>
    <s v="CONTRATACIÓN DE UN PROFESIONAL PARA PRESTAR LOS SERVICIOS PROFESIONALES PARA DESEMPEÑARSE COMO DOCENTE DE LENGUAJE EN LA ACADEMIA DIPLOMÁTICA; CREAR, ELABORAR, EVALUAR Y REVISAR EL COMPONENTE DE EXPRESIÓN ESCRITA DEL EXAMEN DE INGRESO A LA CARRERA DIPLOMÁTICA Y CONSULAR 2021"/>
    <n v="1"/>
    <n v="1"/>
    <n v="9"/>
    <n v="15"/>
    <s v="CONTRATACIÓN DIRECTA"/>
    <x v="0"/>
    <n v="20254950"/>
    <s v="C-3302-1603-2-0-3302066"/>
    <n v="201891000290"/>
    <x v="0"/>
    <x v="4"/>
    <s v="PROGRAMAR, DISEÑAR Y OFERTAR PROGRAMAS DE EDUCACIÓN INFORMAL"/>
    <s v="NO"/>
    <n v="0"/>
    <s v="N.A"/>
    <s v="GESTIÓN CONTRACTUAL"/>
    <s v="JUAN MANUEL ESPINOSA RESTREPO"/>
    <n v="3422121"/>
  </r>
  <r>
    <n v="80111621"/>
    <s v="ACADÉMICA"/>
    <x v="8"/>
    <s v="FORMACIÓN"/>
    <s v="SUBDIRECCIÓN ACADÉMICA"/>
    <s v="CONTRATACIÓN SERVICIOS PROFESIONALES PARA APOYAR LAS ACTIVIDADES DE EDICIÓN DE COMUNITARIA DE LA SUBDIRECCIÓN ACADÉMICA"/>
    <n v="2"/>
    <n v="2"/>
    <n v="9"/>
    <n v="15"/>
    <s v="CONTRATACIÓN DIRECTA"/>
    <x v="0"/>
    <n v="13632821"/>
    <s v="C-3302-1603-2-0-3302070"/>
    <n v="201891000290"/>
    <x v="0"/>
    <x v="1"/>
    <s v="REALIZAR ACTIVIDADES DE CONSOLIDACIÓN ACADÉMICA"/>
    <s v="NO"/>
    <n v="0"/>
    <s v="N.A"/>
    <s v="GESTIÓN CONTRACTUAL"/>
    <s v="JUAN MANUEL ESPINOSA RESTREPO"/>
    <n v="3422121"/>
  </r>
  <r>
    <n v="80111621"/>
    <s v="ACADÉMICA"/>
    <x v="8"/>
    <s v="FORMACIÓN"/>
    <s v="SUBDIRECCIÓN ACADÉMICA"/>
    <s v="CONTRATACIÓN PARA DIRIGIR LA LÍNEA DE INVESTIGACIÓN EN GLOTOPOLÍTICA DEL ICC EN EL MARCO DE LA CÁTEDRA UNESCO DE POLÍTICAS LINGÜÍSTICAS PARA EL MULTILINGÜISMO Y LA BECA FULBRIGHT SPECIALIST"/>
    <n v="1"/>
    <n v="1"/>
    <n v="9"/>
    <n v="15"/>
    <s v="CONTRATACIÓN DIRECTA"/>
    <x v="0"/>
    <n v="6699334"/>
    <s v="C-3302-1603-2-0-3302070"/>
    <n v="201891000290"/>
    <x v="0"/>
    <x v="1"/>
    <s v="REALIZAR ACTIVIDADES DE CONSOLIDACIÓN ACADÉMICA"/>
    <s v="NO"/>
    <n v="0"/>
    <s v="N.A"/>
    <s v="GESTIÓN CONTRACTUAL"/>
    <s v="JUAN MANUEL ESPINOSA RESTREPO"/>
    <n v="3422121"/>
  </r>
  <r>
    <n v="80111621"/>
    <s v="ACADÉMICA"/>
    <x v="8"/>
    <s v="FORMACIÓN"/>
    <s v="SUBDIRECCIÓN ACADÉMICA"/>
    <s v="CONTRATACIÓN DE SERVICIOS DE APOYO PARA EL PROYECTO ANDOQUE"/>
    <n v="2"/>
    <n v="2"/>
    <n v="9"/>
    <n v="15"/>
    <s v="CONTRATACIÓN DIRECTA"/>
    <x v="0"/>
    <n v="19000000"/>
    <s v="C-3302-1603-2-0-3302070"/>
    <n v="201891000290"/>
    <x v="0"/>
    <x v="1"/>
    <s v="REALIZAR ACTIVIDADES DE CONSOLIDACIÓN ACADÉMICA"/>
    <s v="NO"/>
    <n v="0"/>
    <s v="N.A"/>
    <s v="GESTIÓN CONTRACTUAL"/>
    <s v="JUAN MANUEL ESPINOSA RESTREPO"/>
    <n v="3422121"/>
  </r>
  <r>
    <n v="86101700"/>
    <s v="ACADÉMICA"/>
    <x v="8"/>
    <s v="FORMACIÓN"/>
    <s v="SUBDIRECCIÓN ACADÉMICA"/>
    <s v="CONTRATO SERVICIOS PROFESIONALES PARA EL LEVANTAMIENTO DE LA EDICIÓN CRÍTICA LIBRO EL CARNERO&quot;"/>
    <n v="1"/>
    <n v="1"/>
    <n v="9"/>
    <n v="15"/>
    <s v="CONTRATACIÓN DIRECTA"/>
    <x v="0"/>
    <n v="34247500"/>
    <s v="C-3302-1603-2-0-3302070"/>
    <n v="201891000290"/>
    <x v="0"/>
    <x v="1"/>
    <s v="REALIZAR ACTIVIDADES DE CONSOLIDACIÓN ACADÉMICA"/>
    <s v="NO"/>
    <n v="0"/>
    <s v="N.A"/>
    <s v="GESTIÓN CONTRACTUAL"/>
    <s v="JUAN MANUEL ESPINOSA RESTREPO"/>
    <n v="3422121"/>
  </r>
  <r>
    <n v="83121703"/>
    <s v="ACADÉMICA"/>
    <x v="5"/>
    <s v="INFORMACIÓN Y COMUNICACIÓN"/>
    <s v="COMUNICACIONES Y PRENSA "/>
    <s v="SERVICIOS DE GESTOR DE CONTENIDOS WEB Y DISEÑO GRÁFICO "/>
    <n v="1"/>
    <n v="1"/>
    <n v="11"/>
    <n v="0"/>
    <s v="CONTRATACIÓN DIRECTA"/>
    <x v="0"/>
    <n v="38500000"/>
    <s v="C-3302-1603-2-0-3302070"/>
    <n v="201891000290"/>
    <x v="0"/>
    <x v="1"/>
    <s v="REALIZAR ACTIVIDADES DE CONSOLIDACIÓN ACADÉMICA"/>
    <s v="NO"/>
    <n v="0"/>
    <s v="N.A"/>
    <s v="GESTIÓN CONTRACTUAL"/>
    <s v="JUAN MANUEL ESPINOSA RESTREPO"/>
    <n v="3422121"/>
  </r>
  <r>
    <n v="86141501"/>
    <s v="ACADÉMICA"/>
    <x v="8"/>
    <s v="DIRECCIONAMIENTO ESTRATÉGICO"/>
    <s v="REGISTRO CALIFICADO"/>
    <s v="CONTRATACIÓN PARA PRESTAR LOS SERVICIOS PROFESIONALES PARA LA SOLICITUD DE REGISTRO CALIFICADO INSTITUCIONAL Y APRECIACIÓN DE CONDICIONES INICIALES INSTITUCIONALES"/>
    <n v="1"/>
    <n v="1"/>
    <n v="10"/>
    <n v="15"/>
    <s v="CONTRATACIÓN DIRECTA"/>
    <x v="0"/>
    <n v="19104109"/>
    <s v="C-3399-1603-4-0-3399061"/>
    <n v="201891000284"/>
    <x v="2"/>
    <x v="9"/>
    <s v=" ADAPTAR EL MODELO INTEGRADO DE PLANEACIÓN Y GESTIÓN AL INSTITUTO "/>
    <s v="NO"/>
    <n v="0"/>
    <s v="N.A"/>
    <s v="GESTIÓN CONTRACTUAL"/>
    <s v="JUAN MANUEL ESPINOSA RESTREPO"/>
    <n v="3422121"/>
  </r>
  <r>
    <n v="86101600"/>
    <s v="ACADÉMICA"/>
    <x v="0"/>
    <s v="FORMACIÓN"/>
    <s v="MAESTRÍA EN ESTUDIOS EDITORIALES"/>
    <s v="NUEVO ÍTEM. CONTRATACIÓN DOCENTE: DOCENTES CURSO TRONCAL: EL MODELO DE NEGOCIO (2022-1) "/>
    <n v="6"/>
    <n v="4"/>
    <n v="2"/>
    <n v="0"/>
    <s v="CONTRATACIÓN DIRECTA"/>
    <x v="0"/>
    <n v="9658311"/>
    <s v="C-3302-1603-2-0-3302067"/>
    <n v="201891000290"/>
    <x v="0"/>
    <x v="0"/>
    <s v="EJECUTAR PROGRAMAS DE POSGRADO CON REGISTRO CALIFICADO VIGENTE"/>
    <s v="NO"/>
    <n v="0"/>
    <s v="N.A"/>
    <s v="GESTIÓN CONTRACTUAL"/>
    <s v="MARÍA OFELIA ROS MATTURRO"/>
    <n v="3422121"/>
  </r>
  <r>
    <s v="80111715; 80101510"/>
    <s v="DIRECCIÓN GENERAL"/>
    <x v="9"/>
    <s v="DIRECCIONAMIENTO ESTRATÉGICO"/>
    <s v="SISTEMA INTEGRADO DE GESTIÓN"/>
    <s v="PRESTAR LOS SERVICIOS PROFESIONALES EN EL GRUPO DE PLANEACIÓN PARA PARA LA ORIENTACIÓN E IMPLEMENTACIÓN DEL MODELO DE SEGURIDAD Y PRIVACIDAD DE LA INFORMACIÓN (MSPI) ALINEADO CON EL MARCO DE REFERENCIA DE ARQUITECTURA TI Y EL MODELO INTEGRADO DE PLANEACIÓN Y GESTIÓN (MIPG ) "/>
    <n v="1"/>
    <n v="1"/>
    <n v="10"/>
    <n v="10"/>
    <s v="CONTRATACIÓN DIRECTA"/>
    <x v="0"/>
    <n v="53888089.434782609"/>
    <s v="C-3399-1603-4-0-3399061"/>
    <n v="201891000284"/>
    <x v="2"/>
    <x v="9"/>
    <s v=" ADAPTAR EL MODELO INTEGRADO DE PLANEACIÓN Y GESTIÓN AL INSTITUTO "/>
    <s v="NO"/>
    <n v="0"/>
    <s v="N.A"/>
    <s v="GESTIÓN CONTRACTUAL"/>
    <s v="CRISTIAN ARMANDO VELANDIA "/>
    <n v="3422121"/>
  </r>
  <r>
    <n v="80111621"/>
    <s v="ACADÉMICA"/>
    <x v="1"/>
    <s v="INVESTIGACIÓN"/>
    <s v="ASESOR INVESTIGACIÓN EXTERNA"/>
    <s v="ASESOR INVESTIGACIÓN EXTERNA"/>
    <n v="1"/>
    <m/>
    <n v="10"/>
    <m/>
    <s v="CONTRATACIÓN DIRECTA"/>
    <x v="0"/>
    <n v="2194017"/>
    <s v="C-3302-1603-2-0-3302001"/>
    <n v="201891000290"/>
    <x v="0"/>
    <x v="2"/>
    <s v="DISEÑAR, APROBAR Y EJECUTAR LOS PROYECTOS DE INVESTIGACIÓN"/>
    <s v="NO"/>
    <n v="0"/>
    <s v="N.A"/>
    <s v="GESTIÓN CONTRACTUAL"/>
    <s v="JULIO BERNAL"/>
    <n v="342212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m/>
    <s v="ADMINISTRATIVA Y FINANCIERA"/>
    <x v="0"/>
    <s v="PLAN ESTRATEGICO DE TALENTO HUMANO"/>
    <s v="GASTOS DE PERSONAL (99 CARGOS)"/>
    <s v="ENERO"/>
    <s v="ENERO"/>
    <n v="12"/>
    <m/>
    <s v="no aplica"/>
    <s v="NACIÓN"/>
    <n v="6213858439"/>
    <m/>
    <m/>
    <n v="0"/>
    <s v="N.A"/>
    <m/>
    <s v="LILIANA JEANNETTE MONTOYA TALERO"/>
    <n v="3422121"/>
    <s v="liliana.montoya@caroycuervo.gov.co"/>
    <s v="N.A"/>
    <m/>
    <x v="0"/>
  </r>
  <r>
    <m/>
    <s v="ADMINISTRATIVA Y FINANCIERA"/>
    <x v="0"/>
    <s v="PLAN ESTRATEGICO DE TALENTO HUMANO"/>
    <s v="INCAPACIDADES Y LICENCIAS DE MATERNIDAD (99 CARGOS)"/>
    <s v="ENERO"/>
    <s v="ENERO"/>
    <n v="12"/>
    <m/>
    <s v="no aplica"/>
    <s v="NACIÓN"/>
    <n v="8240000"/>
    <m/>
    <m/>
    <n v="0"/>
    <s v="N.A"/>
    <m/>
    <s v="LILIANA JEANNETTE MONTOYA TALERO"/>
    <n v="3422121"/>
    <s v="liliana.montoya@caroycuervo.gov.co"/>
    <s v="N.A"/>
    <m/>
    <x v="1"/>
  </r>
  <r>
    <m/>
    <s v="ADMINISTRATIVA Y FINANCIERA"/>
    <x v="1"/>
    <s v="MOVILIDAD Y DESPLAZAMIENTO DE LOS SERVIDORES PÚBLICOS DEL INSTITUTO CARO Y CUERVO"/>
    <s v="CONTRATACIÓN DE LA RECARGA AL SISTEMA PASE YA PARA EL PASO DEL PEAJE  DE  LOS VEHÍCULOS CON QUE CUENTA EL PARQUE AUTOMOTOR DEL INSTITUTO CARO Y CUERVO,  QUE SE DIRIJAN A LA SEDE DE YERBABUENA."/>
    <s v="MARZO"/>
    <s v="MARZO"/>
    <n v="1"/>
    <m/>
    <s v="MINIMA CUANTÍA"/>
    <s v="NACIÓN"/>
    <n v="1500000"/>
    <n v="0"/>
    <s v="NO"/>
    <n v="0"/>
    <s v="N.A"/>
    <s v="GESTIÓN CONTRACTUAL"/>
    <s v="MARÍA DEL ROSARIO BARROS PIMIENTA / JAVIER MAURICIO VARGAS LÓPEZ / AURIS MARGARITA MENDOZA URECHE"/>
    <n v="3422121"/>
    <s v="rosario.barros@caroycuervo.gov.co/javier.vargas@caroycuervo.gov.co/auris.mendoza@caroycuervo.gov.co"/>
    <s v="N.A"/>
    <m/>
    <x v="2"/>
  </r>
  <r>
    <m/>
    <s v="ADMINISTRATIVA Y FINANCIERA"/>
    <x v="1"/>
    <s v="MANTENIMIENTO Y CONSERVACIÓN DE LAS SEDES DEL INSTITUTO CARO Y CUERVO"/>
    <s v="PAGO CONCESIÓN DE AGUA SUPERFICIALES LA CHORRERA (PREGUNTAR SI VA EN EL PLAN)"/>
    <s v="FEBRERO"/>
    <s v="FEBRERO"/>
    <s v="N/A"/>
    <s v="N/A"/>
    <m/>
    <s v="NACIÓN"/>
    <n v="3853040"/>
    <n v="0"/>
    <s v="NO"/>
    <n v="0"/>
    <s v="N.A"/>
    <s v="GESTIÓN CONTRACTUAL"/>
    <s v="MARÍA DEL ROSARIO BARROS PIMIENTA / JAVIER MAURICIO VARGAS LÓPEZ / AURIS MARGARITA MENDOZA URECHE"/>
    <n v="3422121"/>
    <s v="rosario.barros@caroycuervo.gov.co/javier.vargas@caroycuervo.gov.co/auris.mendoza@caroycuervo.gov.co"/>
    <s v="N.A"/>
    <m/>
    <x v="2"/>
  </r>
  <r>
    <m/>
    <s v="ADMINISTRATIVA Y FINANCIERA"/>
    <x v="2"/>
    <s v="CONTABILIDAD Y PRESUPUESTO"/>
    <s v="PAGO DE IMPUESTO"/>
    <s v="ENERO"/>
    <s v="ENERO"/>
    <n v="6"/>
    <m/>
    <m/>
    <s v="NACIÓN"/>
    <n v="29446340"/>
    <m/>
    <m/>
    <n v="0"/>
    <s v="N.A"/>
    <s v="GESTIÓN CONTRACTUAL"/>
    <s v="MARÍA DEL ROSARIO BARROS PIMIENTA / JAVIER MAURICIO VARGAS LÓPEZ / AURIS MARGARITA MENDOZA URECHE"/>
    <n v="3422121"/>
    <s v="rosario.barros@caroycuervo.gov.co/javier.vargas@caroycuervo.gov.co/auris.mendoza@caroycuervo.gov.co"/>
    <s v="El valor real proyectado de impuestos es $64.534.645"/>
    <m/>
    <x v="3"/>
  </r>
  <r>
    <m/>
    <s v="ADMINISTRATIVA Y FINANCIERA"/>
    <x v="2"/>
    <s v="CONTABILIDAD Y PRESUPUESTO"/>
    <s v="CUOTA DE AUDITAJE"/>
    <s v="ENERO"/>
    <s v="ENERO"/>
    <n v="10"/>
    <m/>
    <m/>
    <s v="NACIÓN"/>
    <n v="37208527"/>
    <m/>
    <m/>
    <n v="0"/>
    <s v="N.A"/>
    <s v="GESTIÓN CONTRACTUAL"/>
    <s v="AURIS MARGARITA MENDOZA URECHE"/>
    <n v="3422121"/>
    <s v="auris.mendoza@caroycuervo.gov.co"/>
    <s v="El valor real proyectado de cuota auditaje $ 47.580.000"/>
    <m/>
    <x v="4"/>
  </r>
  <r>
    <m/>
    <s v="DIRECCIÓN GENERAL"/>
    <x v="1"/>
    <s v="MANTENIMIENTO Y CONSERVACIÓN DE LAS SEDES DEL INSTITUTO CARO Y CUERVO"/>
    <s v="TASAS Y DERECHOS ADMINISTRATIVOS (CAJA MENOR)"/>
    <s v="ENERO"/>
    <s v="ENERO"/>
    <n v="11"/>
    <m/>
    <s v="CONTRATACIÓN DIRECTA"/>
    <s v="NACIÓN"/>
    <n v="1000000"/>
    <m/>
    <m/>
    <n v="0"/>
    <s v="N.A"/>
    <s v="GESTIÓN CONTRACTUAL"/>
    <s v="AURIS MARGARITA MENDOZA URECHE"/>
    <n v="3422121"/>
    <s v="auris.mendoza@caroycuervo.gov.co"/>
    <s v="N.A"/>
    <m/>
    <x v="2"/>
  </r>
  <r>
    <m/>
    <s v="DIRECCIÓN GENERAL"/>
    <x v="3"/>
    <s v="DIMENSIÓN JURIDICA DEL INSTITUTO CARO Y CUERVO"/>
    <s v="SENTENCIAS"/>
    <m/>
    <m/>
    <m/>
    <m/>
    <s v="ACTO ADMINISTRATIVO"/>
    <s v="NACIÓN"/>
    <n v="94172868"/>
    <m/>
    <m/>
    <n v="0"/>
    <s v="N.A"/>
    <s v="GESTIÓN CONTRACTUAL"/>
    <s v="AURIS MARGARITA MENDOZA URECHE"/>
    <n v="3422121"/>
    <s v="auris.mendoza@caroycuervo.gov.co"/>
    <s v="N.A"/>
    <m/>
    <x v="1"/>
  </r>
  <r>
    <m/>
    <s v="DIRECCIÓN GENERAL"/>
    <x v="3"/>
    <s v="DIMENSIÓN JURIDICA DEL INSTITUTO CARO Y CUERVO"/>
    <s v="MULTAS, SANCIONES E INTERESES"/>
    <m/>
    <m/>
    <m/>
    <m/>
    <s v="ACTO ADMINISTRATIVO"/>
    <s v="NACIÓN"/>
    <n v="1058840"/>
    <m/>
    <m/>
    <n v="0"/>
    <s v="N.A"/>
    <s v="GESTIÓN CONTRACTUAL"/>
    <s v="AURIS MARGARITA MENDOZA URECHE"/>
    <n v="3422121"/>
    <s v="auris.mendoza@caroycuervo.gov.co"/>
    <s v="N.A"/>
    <m/>
    <x v="3"/>
  </r>
  <r>
    <n v="80111601"/>
    <s v="ADMINISTRATIVA Y FINANCIERA"/>
    <x v="4"/>
    <s v="GESTIÓN CONTRACTUAL"/>
    <s v="PRESTAR LOS SERVICIOS DE APOYO ADMINISTRATIVO DEL GRUPO DE GESTIÓN CONTRACTUAL DEL INSTITUTO CARO Y CUERVO"/>
    <s v="ENERO"/>
    <s v="ENERO"/>
    <n v="11"/>
    <m/>
    <s v="CONTRATACIÓN DIRECTA"/>
    <m/>
    <n v="27839850"/>
    <n v="27839850"/>
    <s v="NO"/>
    <n v="0"/>
    <s v="N.A"/>
    <s v="GESTIÓN CONTRACTUAL"/>
    <s v="LEYDI JULIET PINZÓN CEPEDA"/>
    <n v="3422121"/>
    <s v="leydi.pinzon@caroycuervo.gov.co"/>
    <s v="N.A"/>
    <m/>
    <x v="5"/>
  </r>
  <r>
    <n v="80121704"/>
    <s v="ADMINISTRATIVA Y FINANCIERA"/>
    <x v="4"/>
    <s v="GESTIÓN CONTRACTUAL"/>
    <s v="CONTRATACIÓN PARA PRESTAR LOS SERVICIOS PROFESIONALES PARA ADELANTAR LOS PROCESOS Y TRÁMITES CONTRACTUALES DEL INSTITUTO"/>
    <s v="ENERO"/>
    <s v="ENERO"/>
    <n v="11"/>
    <m/>
    <s v="CONTRATACIÓN DIRECTA"/>
    <m/>
    <n v="37343680"/>
    <n v="37343680"/>
    <s v="NO"/>
    <n v="0"/>
    <s v="N.A"/>
    <s v="GESTIÓN CONTRACTUAL"/>
    <s v="LEYDI JULIET PINZÓN CEPEDA"/>
    <n v="3422121"/>
    <s v="leydi.pinzon@caroycuervo.gov.co"/>
    <s v="N.A"/>
    <m/>
    <x v="5"/>
  </r>
  <r>
    <s v="84111703; 93151501"/>
    <s v="ADMINISTRATIVA Y FINANCIERA"/>
    <x v="3"/>
    <s v="SUBDIRECCIÓN ADMINISTRATIVA Y FINANCIERA"/>
    <s v="PRESTAR LOS SERVICIOS PROFESIONALES PARA APOYAR LA GESTIÓN DE LA SUBDIRECCIÓN ADMINISTRATIVA Y FINANCIERA."/>
    <s v="ENERO"/>
    <s v="ENERO"/>
    <n v="11"/>
    <m/>
    <s v="CONTRATACIÓN DIRECTA"/>
    <m/>
    <n v="44000000"/>
    <n v="32000000"/>
    <s v="NO"/>
    <n v="0"/>
    <s v="N.A"/>
    <s v="GESTIÓN CONTRACTUAL"/>
    <s v="HÉCTOR ALEJANDRO CADAVID VILLA"/>
    <n v="3422121"/>
    <s v="hector.cadavid@caroycuervo.gov.co"/>
    <s v="N.A"/>
    <m/>
    <x v="5"/>
  </r>
  <r>
    <m/>
    <s v="ADMINISTRATIVA Y FINANCIERA"/>
    <x v="2"/>
    <s v="CONTABILIDAD Y PRESUPUESTO"/>
    <s v="PRESTAR SERVICIOS PROFESIONALES COMO CONTADOR PÚBLICO EN EL INSTITUTO CARO Y CUERVO PARA ASESORAR LA ACTUALIZACIÓN Y MANTENIMIENTO DE LOS BIENES DE INVENTARIOS, PROPIEDAD, PLANTA Y EQUIPO, BIENES DE INTERES CULTURAL Y BIENES PATRIMONIALES DEL INSTITUTO CARO Y CUERVO, APOYANDO AL CONTADOR DE LA ENTIDAD EN EL ADECUADO RECONOCIMIENTO CONTABLE EN SIIF NACIÓN Y EL ERP WEB SAFI. LA NECESIDAD NACE DE LOS PLANES DE MEJORAMIENTO SUSCRITOS POR LA ENTIDAD"/>
    <s v="ENERO"/>
    <s v="ENERO"/>
    <n v="10"/>
    <m/>
    <s v="CONTRATACIÓN DIRECTA"/>
    <m/>
    <n v="25000000"/>
    <n v="0"/>
    <s v="NO"/>
    <n v="0"/>
    <s v="N.A"/>
    <s v="GESTIÓN CONTRACTUAL"/>
    <s v="AURIS MARGARITA MENDOZA URECHE"/>
    <n v="3422121"/>
    <s v="auris.mendoza@caroycuervo.gov.co"/>
    <s v="N.A"/>
    <m/>
    <x v="5"/>
  </r>
  <r>
    <n v="84111502"/>
    <s v="ADMINISTRATIVA Y FINANCIERA"/>
    <x v="2"/>
    <s v="CONTABILIDAD Y PRESUPUESTO"/>
    <s v="PRESTACIÓN DE SERVICIOS PROFESIONALES COMO CONTADOR PÚBLICO EN EL INSTITUTO CARO Y CUERVO PARA APOYAR LA CONTABILIZACIÓN DE INGRESOS Y EGRESOS, EMISIÓN DE FACTURAS,  Y SEGUIMIENTO DE PLANES SUSCRITOS POR EL PROCESO DE CONTABILIDAD Y PRESUPUESTO"/>
    <s v="ENERO"/>
    <s v="ENERO"/>
    <n v="11"/>
    <m/>
    <s v="CONTRATACIÓN DIRECTA"/>
    <m/>
    <n v="48337440"/>
    <n v="48337440"/>
    <s v="NO"/>
    <n v="0"/>
    <s v="N.A"/>
    <s v="GESTIÓN CONTRACTUAL"/>
    <s v="AURIS MARGARITA MENDOZA URECHE"/>
    <n v="3422121"/>
    <s v="auris.mendoza@caroycuervo.gov.co"/>
    <s v="N.A"/>
    <m/>
    <x v="5"/>
  </r>
  <r>
    <n v="93141506"/>
    <s v="ADMINISTRATIVA Y FINANCIERA"/>
    <x v="0"/>
    <s v="GESTIÓN DEL TALENTO HUMANO"/>
    <s v="BIENESTAR SOCIAL DE FUNCIONARIOS DE PLANTA DEL INSTITUTO CARO Y CUERVO"/>
    <s v="ENERO"/>
    <s v="ENERO"/>
    <n v="11"/>
    <m/>
    <s v="CONTRATACIÓN DIRECTA"/>
    <m/>
    <n v="24000000"/>
    <n v="24000000"/>
    <s v="NO"/>
    <n v="0"/>
    <s v="N.A"/>
    <s v="GESTIÓN CONTRACTUAL"/>
    <s v="LILIANA JEANNETTE MONTOYA TALERO"/>
    <n v="3422121"/>
    <s v="liliana.montoya@caroycuervo.gov.co"/>
    <s v="N.A"/>
    <m/>
    <x v="5"/>
  </r>
  <r>
    <n v="86101705"/>
    <s v="ADMINISTRATIVA Y FINANCIERA"/>
    <x v="0"/>
    <s v="GESTIÓN DEL TALENTO HUMANO"/>
    <s v="CAPACITACIÓN DE FUNCIONARIOS DEL INSTITUTO CARO Y CUERVO"/>
    <s v="JUNIO"/>
    <s v="JUNIO"/>
    <n v="9"/>
    <m/>
    <s v="MINIMA CUANTÍA"/>
    <m/>
    <n v="11606800"/>
    <n v="11606800"/>
    <s v="NO"/>
    <n v="0"/>
    <s v="N.A"/>
    <s v="GESTIÓN CONTRACTUAL"/>
    <s v="LILIANA JEANNETTE MONTOYA TALERO"/>
    <m/>
    <s v="liliana.montoya@caroycuervo.gov.co"/>
    <s v="N.A"/>
    <m/>
    <x v="5"/>
  </r>
  <r>
    <s v="53101902; 53101904; 53111601; 53111602"/>
    <s v="ADMINISTRATIVA Y FINANCIERA"/>
    <x v="0"/>
    <s v="GESTIÓN DEL TALENTO HUMANO"/>
    <s v="3 ENTREGAS DE DOTACIÓN DE LEY PARA LOS FUNCIONARIOS QUE TIENEN DERECHO"/>
    <s v="MARZO"/>
    <s v="MARZO"/>
    <n v="9"/>
    <m/>
    <s v="ACUERDO MARCO"/>
    <m/>
    <n v="30486143"/>
    <n v="30486143"/>
    <s v="NO"/>
    <n v="0"/>
    <s v="N.A"/>
    <s v="GESTIÓN CONTRACTUAL"/>
    <s v="LILIANA JEANNETTE MONTOYA TALERO"/>
    <m/>
    <s v="liliana.montoya@caroycuervo.gov.co"/>
    <s v="N.A"/>
    <m/>
    <x v="5"/>
  </r>
  <r>
    <n v="80111600"/>
    <s v="ADMINISTRATIVA Y FINANCIERA"/>
    <x v="0"/>
    <s v="GESTIÓN DEL TALENTO HUMANO"/>
    <s v="CONTRATACIÓN PARA LA PRESTACIÓN DE SERVICIOS PROFESIONALES PARA EL DESARROLLO DE ACTIVIDADES PROPUESTAS EN EL PLAN ESTRATÉGICO DEL TALENTO HUMANO DEL INSTITUTO CARO Y CUERVO"/>
    <s v="ENERO"/>
    <s v="ENERO"/>
    <n v="11"/>
    <m/>
    <s v="CONTRATACIÓN DIRECTA"/>
    <m/>
    <n v="37775628"/>
    <n v="36630921"/>
    <s v="NO"/>
    <n v="0"/>
    <s v="N.A"/>
    <s v="GESTIÓN CONTRACTUAL"/>
    <s v="LILIANA JEANNETTE MONTOYA TALERO"/>
    <m/>
    <s v="liliana.montoya@caroycuervo.gov.co"/>
    <s v="N.A"/>
    <m/>
    <x v="5"/>
  </r>
  <r>
    <s v="43231505; 43231508; 43231600; 43231604 "/>
    <s v="ADMINISTRATIVA Y FINANCIERA"/>
    <x v="2"/>
    <s v="GESTIÓN FINANCIERA"/>
    <s v="CONTRATACIÓN PARA LA PRESTACIÓN DE SOPORTE TÉCNICO, ACTUALIZACIÓN Y MANTENIMIENTO Y DESARROLLO DEL SERVICIO SAAS WEBSAFI ERP "/>
    <s v="ENERO"/>
    <s v="ENERO"/>
    <n v="11"/>
    <n v="20"/>
    <s v="CONTRATACIÓN DIRECTA"/>
    <m/>
    <n v="52820040"/>
    <n v="43494500"/>
    <s v="SI"/>
    <n v="4500000"/>
    <s v="N.A"/>
    <s v="GESTIÓN CONTRACTUAL"/>
    <s v="AURIS MARGARITA MENDOZA URECHE"/>
    <m/>
    <s v="auris.mendoza@caroycuervo.gov.co"/>
    <s v="N.A"/>
    <m/>
    <x v="5"/>
  </r>
  <r>
    <m/>
    <s v="ADMINISTRATIVA Y FINANCIERA"/>
    <x v="0"/>
    <s v="GESTIÓN DEL TALENTO HUMANO"/>
    <s v="PAGO DEL REGISTRO DE LA OPEC A LA CNSC"/>
    <s v="MAYO"/>
    <s v="MAYO"/>
    <n v="1"/>
    <m/>
    <m/>
    <m/>
    <n v="7000000"/>
    <n v="23000000"/>
    <s v="NO"/>
    <n v="0"/>
    <s v="N.A"/>
    <s v="GESTIÓN CONTRACTUAL"/>
    <s v="LILIANA JEANNETTE MONTOYA TALERO"/>
    <m/>
    <s v="liliana.montoya@caroycuervo.gov.co"/>
    <s v="N.A"/>
    <m/>
    <x v="5"/>
  </r>
  <r>
    <s v="46181501; 46181533; 46181504; 46181604; 46181605; 46181804; 46181901; 46181902; 46182002; 46182005; 53101502; 53101602; 53101802; 12352104; 46181507; 31201513; 41112224"/>
    <s v="ADMINISTRATIVA Y FINANCIERA"/>
    <x v="0"/>
    <s v="GESTIÓN DEL TALENTO HUMANO"/>
    <s v="ADQUISICIÓN DE ELEMENTOS DE PROTECCIÓN DE PERSONAL ANUALES"/>
    <s v="JULIO"/>
    <s v="JULIO"/>
    <n v="8"/>
    <m/>
    <s v="MINIMA CUANTÍA"/>
    <m/>
    <n v="14013857"/>
    <n v="14013857"/>
    <s v="NO"/>
    <n v="0"/>
    <s v="N.A"/>
    <s v="GESTIÓN CONTRACTUAL"/>
    <s v="JENNY PAOLA LEÓN MARTINEZ"/>
    <m/>
    <s v="jenny.leon@caroycuervo.gov.co"/>
    <s v="N.A"/>
    <m/>
    <x v="5"/>
  </r>
  <r>
    <s v="85111611; 85111612; 93141506"/>
    <s v="ADMINISTRATIVA Y FINANCIERA"/>
    <x v="0"/>
    <s v="GESTIÓN DEL TALENTO HUMANO"/>
    <s v="SERVICIOS DE EXAMENES MEDICOS DE INGRESO Y EGRESO DE FUNCIONARIOS / MEDICIÓN DE CLIMA LABORAL"/>
    <s v="MAYO"/>
    <s v="MAYO"/>
    <n v="7"/>
    <m/>
    <s v="MINIMA CUANTÍA"/>
    <m/>
    <n v="14000000"/>
    <n v="12076200"/>
    <s v="NO"/>
    <n v="0"/>
    <s v="N.A"/>
    <s v="GESTIÓN CONTRACTUAL"/>
    <s v="JENNY PAOLA LEÓN MARTINEZ"/>
    <m/>
    <s v="jenny.leon@caroycuervo.gov.co"/>
    <s v="N.A"/>
    <m/>
    <x v="5"/>
  </r>
  <r>
    <n v="41113038"/>
    <s v="ADMINISTRATIVA Y FINANCIERA"/>
    <x v="0"/>
    <s v="GESTIÓN DEL TALENTO HUMANO"/>
    <s v="COMPRA DE UN ALCOHOLIMETRO"/>
    <s v="OCTUBRE"/>
    <s v="OCTUBRE"/>
    <n v="7"/>
    <m/>
    <s v="MINIMA CUANTÍA"/>
    <m/>
    <n v="500000"/>
    <n v="0"/>
    <s v="NO"/>
    <n v="0"/>
    <s v="N.A"/>
    <s v="GESTIÓN CONTRACTUAL"/>
    <s v="JENNY PAOLA LEÓN MARTINEZ"/>
    <m/>
    <s v="jenny.leon@caroycuervo.gov.co"/>
    <s v="N.A"/>
    <m/>
    <x v="5"/>
  </r>
  <r>
    <m/>
    <s v="ADMINISTRATIVA Y FINANCIERA"/>
    <x v="0"/>
    <s v="SUBDIRECCIÓN ADMINISTRATIVA Y FINANCIERA"/>
    <s v="VIÁTICOS Y GASTOS DE VIAJES FUNCIONARIOS DEL INSTITUTO CARO Y CUERVO"/>
    <s v="FEBRERO"/>
    <s v="FEBRERO"/>
    <n v="11"/>
    <m/>
    <m/>
    <s v="NACIÓN"/>
    <n v="7834750"/>
    <n v="7834750"/>
    <s v="NO"/>
    <n v="0"/>
    <s v="N.A"/>
    <s v="GESTIÓN CONTRACTUAL"/>
    <s v="HÉCTOR ALEJANDRO CADAVID VILLA"/>
    <m/>
    <s v="hector.cadavid@caroycuervo.gov.co"/>
    <s v="N.A"/>
    <m/>
    <x v="5"/>
  </r>
  <r>
    <n v="44122003"/>
    <s v="ADMINISTRATIVA Y FINANCIERA"/>
    <x v="5"/>
    <s v="GESTIÓN DOCUMENTAL (INFORMACIÓN Y COMUNICACIÓN)"/>
    <s v="ADQUISICIÓN DE CARPETAS PARA ARCHIVO CENTRAL"/>
    <s v="MAYO"/>
    <s v="MAYO"/>
    <n v="1"/>
    <m/>
    <s v="MINIMA CUANTÍA"/>
    <m/>
    <n v="1000000"/>
    <n v="917900"/>
    <s v="NO"/>
    <n v="0"/>
    <s v="N.A"/>
    <s v="GESTIÓN CONTRACTUAL"/>
    <s v="ANDRÉS COY RODRÍGUEZ"/>
    <m/>
    <s v="andres.coy@caroycuervo.gov.co"/>
    <s v="N.A"/>
    <m/>
    <x v="5"/>
  </r>
  <r>
    <n v="78102200"/>
    <s v="ADMINISTRATIVA Y FINANCIERA"/>
    <x v="5"/>
    <s v="GESTIÓN DOCUMENTAL (INFORMACIÓN Y COMUNICACIÓN)"/>
    <s v="CONTRATACIÓN DE OPERADOR POSTAL"/>
    <s v="ENERO"/>
    <s v="ENERO"/>
    <n v="11"/>
    <m/>
    <s v="CONTRATACIÓN DIRECTA"/>
    <m/>
    <n v="3500000"/>
    <n v="2667250"/>
    <s v="NO"/>
    <n v="0"/>
    <s v="N.A"/>
    <s v="GESTIÓN CONTRACTUAL"/>
    <s v="ANDRÉS COY RODRÍGUEZ"/>
    <m/>
    <s v="andres.coy@caroycuervo.gov.co"/>
    <s v="N.A"/>
    <m/>
    <x v="5"/>
  </r>
  <r>
    <n v="80111601"/>
    <s v="ADMINISTRATIVA Y FINANCIERA"/>
    <x v="5"/>
    <s v="GESTIÓN DOCUMENTAL (INFORMACIÓN Y COMUNICACIÓN)"/>
    <s v="PRESTAR LOS SERVICIOS PROFESIONALES PARA LA APLICACIÓN DE LOS CRITERIOS ARCHIVÍSTICOS ESTABLECIDOS EN LA LEY GENERAL DE ARCHIVOS PARA LA GESTIÓN DOCUMENTAL DEL INSTITUTO CARO Y CUERVO."/>
    <s v="ENERO"/>
    <s v="ENERO"/>
    <n v="11"/>
    <m/>
    <s v="CONTRATACIÓN DIRECTA"/>
    <m/>
    <n v="27839713"/>
    <n v="26996086"/>
    <s v="NO"/>
    <n v="0"/>
    <s v="N.A"/>
    <s v="GESTIÓN CONTRACTUAL"/>
    <s v="ANDRÉS COY RODRÍGUEZ"/>
    <m/>
    <s v="andres.coy@caroycuervo.gov.co"/>
    <s v="N.A"/>
    <m/>
    <x v="5"/>
  </r>
  <r>
    <m/>
    <s v="ADMINISTRATIVA Y FINANCIERA"/>
    <x v="5"/>
    <s v="GESTIÓN DOCUMENTAL (INFORMACIÓN Y COMUNICACIÓN)"/>
    <s v="ADQUISICIÓN SOFTWARE GESTIÓN DOCUMENTAL PARA RADICACIÓN DE CORRESPONDENCIA FASE 1"/>
    <s v="JULIO"/>
    <s v="JULIO"/>
    <n v="9"/>
    <m/>
    <s v="SELECCIÓN ABREVIADA MENOR CUANTÍA"/>
    <m/>
    <n v="39780079"/>
    <n v="0"/>
    <s v="NO"/>
    <n v="0"/>
    <s v="N.A"/>
    <s v="GESTIÓN CONTRACTUAL"/>
    <s v="ANDRÉS COY RODRÍGUEZ"/>
    <m/>
    <s v="andres.coy@caroycuervo.gov.co"/>
    <s v="N.A"/>
    <m/>
    <x v="5"/>
  </r>
  <r>
    <m/>
    <s v="ADMINISTRATIVA Y FINANCIERA"/>
    <x v="5"/>
    <s v="GESTIÓN DOCUMENTAL (INFORMACIÓN Y COMUNICACIÓN)"/>
    <s v="ADQUISICIÓN SISTEMA DE ALARMA EN CASO DE INCENDIOS DEPOSITOS DE ARCHIVO SEDE YERBABUENA Y CASA DE CUERVO"/>
    <s v="JUNIO"/>
    <s v="JUNIO"/>
    <n v="2"/>
    <m/>
    <s v="MINIMA CUANTÍA"/>
    <m/>
    <n v="6000000"/>
    <n v="0"/>
    <s v="NO"/>
    <n v="0"/>
    <s v="N.A"/>
    <s v="GESTIÓN CONTRACTUAL"/>
    <s v="ANDRÉS COY RODRÍGUEZ"/>
    <m/>
    <s v="andres.coy@caroycuervo.gov.co"/>
    <s v="N.A"/>
    <m/>
    <x v="5"/>
  </r>
  <r>
    <m/>
    <s v="ADMINISTRATIVA Y FINANCIERA"/>
    <x v="5"/>
    <s v="GESTIÓN DOCUMENTAL (INFORMACIÓN Y COMUNICACIÓN)"/>
    <s v="ADQUISICIÓN DE CINTAS PARA IMPRESORA DE CODIGOS DE BARRA"/>
    <s v="FEBRERO"/>
    <s v="FEBRERO"/>
    <n v="1"/>
    <m/>
    <s v="MINIMA CUANTÍA"/>
    <m/>
    <n v="1000000"/>
    <n v="0"/>
    <s v="NO"/>
    <n v="0"/>
    <s v="N.A"/>
    <s v="GESTIÓN CONTRACTUAL"/>
    <s v="ANDRÉS COY RODRÍGUEZ"/>
    <m/>
    <s v="andres.coy@caroycuervo.gov.co"/>
    <s v="N.A"/>
    <m/>
    <x v="5"/>
  </r>
  <r>
    <m/>
    <s v="ADMINISTRATIVA Y FINANCIERA"/>
    <x v="5"/>
    <s v="GESTIÓN DOCUMENTAL (INFORMACIÓN Y COMUNICACIÓN)"/>
    <s v="ADQUISICIÓN DE ESCANER FUJITSU FI7260 PARA SEDE YERBABUENA"/>
    <s v="JULIO"/>
    <s v="JULIO"/>
    <n v="2"/>
    <m/>
    <s v="MINIMA CUANTÍA"/>
    <m/>
    <n v="7000000"/>
    <n v="25986545"/>
    <s v="NO"/>
    <n v="0"/>
    <s v="N.A"/>
    <s v="GESTIÓN CONTRACTUAL"/>
    <s v="ANDRÉS COY RODRÍGUEZ"/>
    <m/>
    <s v="andres.coy@caroycuervo.gov.co"/>
    <s v="N.A"/>
    <m/>
    <x v="5"/>
  </r>
  <r>
    <m/>
    <s v="ADMINISTRATIVA Y FINANCIERA"/>
    <x v="1"/>
    <s v="MANTENIMIENTO Y CONSERVACIÓN DE LAS SEDES DEL INSTITUTO CARO Y CUERVO"/>
    <s v="GARANTIZAR EL PAGO DE SERVICIO DE ALCANTARILLADO DE LAS SEDES DEL INSTITUTO CARO Y CUERVO."/>
    <s v="ENERO"/>
    <s v="ENERO"/>
    <n v="12"/>
    <m/>
    <s v="CONTRATACIÓN DIRECTA"/>
    <s v="NACIÓN"/>
    <n v="6000000"/>
    <n v="14742574"/>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GARANTIZAR EL PAGO DE SERVICIO DE RECOLECCIÓN DE BASURA DE LAS SEDES DEL INSTITUTO CARO Y CUERVO."/>
    <s v="ENERO"/>
    <s v="ENERO"/>
    <n v="12"/>
    <m/>
    <s v="CONTRATACIÓN DIRECTA"/>
    <s v="NACIÓN"/>
    <n v="2391147"/>
    <n v="2373976"/>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GARANTIZAR EL PAGO DE SERVICIO DE ENERGÍA DE LAS SEDES DEL INSTITUTO CARO Y CUERVO."/>
    <s v="ENERO"/>
    <s v="ENERO"/>
    <n v="12"/>
    <m/>
    <s v="CONTRATACIÓN DIRECTA"/>
    <s v="NACIÓN"/>
    <n v="105000000"/>
    <n v="110586566"/>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GARANTIZAR EL PAGO DE SERVICIO DE TELEFONÍA MÓVIL DE LAS SEDES DEL INSTITUTO CARO Y CUERVO."/>
    <s v="ENERO"/>
    <s v="ENERO"/>
    <n v="12"/>
    <m/>
    <s v="CONTRATACIÓN DIRECTA"/>
    <s v="NACIÓN"/>
    <n v="2400000"/>
    <n v="385000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GARANTIZAR EL PAGO DE SERVICIO DE TELEFÓNICO DE LAS SEDES DEL INSTITUTO CARO Y CUERVO."/>
    <s v="ENERO"/>
    <s v="ENERO"/>
    <n v="12"/>
    <m/>
    <s v="CONTRATACIÓN DIRECTA"/>
    <s v="NACIÓN"/>
    <n v="41342439"/>
    <n v="48157096"/>
    <s v="NO"/>
    <n v="0"/>
    <s v="N.A"/>
    <s v="GESTIÓN CONTRACTUAL"/>
    <s v="MARÍA DEL ROSARIO BARROS PIMIENTA / JAVIER MAURICIO VARGAS LÓPEZ / AURIS MARGARITA MENDOZA URECHE"/>
    <n v="3422121"/>
    <s v="rosario.barros@caroycuervo.gov.co/javier.vargas@caroycuervo.gov.co/auris.mendoza@caroycuervo.gov.co"/>
    <s v="N.A"/>
    <m/>
    <x v="5"/>
  </r>
  <r>
    <n v="20102301"/>
    <s v="ADMINISTRATIVA Y FINANCIERA"/>
    <x v="1"/>
    <s v="MOVILIDAD Y DESPLAZAMIENTO DE LOS SERVIDORES PÚBLICOS DEL INSTITUTO CARO Y CUERVO"/>
    <s v="CONTRATO DE TRANSPORTE DE 2021 (ADICIONADO CON VF)"/>
    <s v="ENERO"/>
    <s v="ENERO"/>
    <n v="10"/>
    <m/>
    <s v="ACUERDO MARCO"/>
    <s v="NACIÓN"/>
    <n v="9977800"/>
    <m/>
    <s v="SI"/>
    <n v="0"/>
    <s v="N.A"/>
    <s v="GESTIÓN CONTRACTUAL"/>
    <s v="MARÍA DEL ROSARIO BARROS PIMIENTA / JAVIER MAURICIO VARGAS LÓPEZ / AURIS MARGARITA MENDOZA URECHE"/>
    <n v="3422121"/>
    <s v="rosario.barros@caroycuervo.gov.co/javier.vargas@caroycuervo.gov.co/auris.mendoza@caroycuervo.gov.co"/>
    <s v="N.A"/>
    <m/>
    <x v="5"/>
  </r>
  <r>
    <n v="20102301"/>
    <s v="ADMINISTRATIVA Y FINANCIERA"/>
    <x v="1"/>
    <s v="MOVILIDAD Y DESPLAZAMIENTO DE LOS SERVIDORES PÚBLICOS DEL INSTITUTO CARO Y CUERVO"/>
    <s v="PRESTACIÓN DE SERVICIO DE TRANSPORTE TERRESTRE DE IDA Y REGRESO PARA LOS ESTUDIANTES, FUNCIONARIOS, CONTRATISTAS DIRECTOS E INDIRECTOS QUE PRESTAN SERVICIO EN EL  INSTITUTO CARO Y CUERVO QUE TRABAJAN EN LA SEDE DE YERBABUENA."/>
    <s v="FEBRERO"/>
    <s v="FEBRERO"/>
    <n v="10"/>
    <m/>
    <s v="ACUERDO MARCO"/>
    <m/>
    <n v="205022200"/>
    <n v="74232735"/>
    <s v="SI"/>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CONTRATO DE ASEO DE 2021 (ADICIONADO CON VF)"/>
    <s v="ENERO"/>
    <s v="ENERO"/>
    <n v="12"/>
    <m/>
    <s v="ACUERDO MARCO"/>
    <s v="NACIÓN"/>
    <n v="28092574"/>
    <m/>
    <s v="SI"/>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PRESTAR  EL SERVICIO INTEGRAL DE ASEO Y CAFETERÍA EN LAS SEDES DEL INSTITUTO CARO Y CUERVO - CASA DE CUERVO ( CALLE 10 NO. 4-69 DE LA CIUDAD DE BOGOTÁ D.C), CASA RIVAS SACCONI, (CALLE 10 NO. 4-89) Y SEDE HACIENDA YERBABUENA, (AUTOPISTA NORTE, KILÓMETRO 9 + 300 METROS MUNICIPIO DE CHÍA CUNDINAMARCA) "/>
    <s v="MARZO"/>
    <s v="MARZO"/>
    <n v="12"/>
    <m/>
    <s v="ACUERDO MARCO"/>
    <m/>
    <n v="140188999"/>
    <n v="168281572.66"/>
    <s v="SI"/>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CONTRATAR LOS SEGUROS QUE AMPAREN LOS INTERESES PATRIMONIALES Y FUTUROS, ASÍ COMO LOS BIENES DEL INSTITUTO CARO Y CUERVO, QUE ESTÉN BAJO SU RESPONSABILIDAD Y CUSTODIA Y AQUELLOS QUE SEAN ADQUIRIDOS PARA DESARROLLAR LAS FUNCIONES INHERENTES A SU ACTIVIDAD Y CUALQUIER OTRA PÓLIZA DE SEGUROS QUE REQUIERA LA ENTIDAD EN EL DESARROLLO DE SU ACTIVIDAD."/>
    <s v="ENERO"/>
    <s v="ENERO"/>
    <n v="8"/>
    <m/>
    <s v="LICITACIÓN PÚBLICA"/>
    <s v="NACIÓN"/>
    <n v="144113602"/>
    <n v="10444145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CONTRATAR EL MANTENIMIENTO DE VEHÍCULOS DEL PARQUE AUTOMOTOR DEL ICC"/>
    <s v="ENERO"/>
    <s v="ENERO"/>
    <n v="6"/>
    <m/>
    <s v="MINIMA CUANTÍA"/>
    <m/>
    <n v="6500000"/>
    <n v="650000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CONTRATO DE VIGILANCIA DE 2021 (ADICIONADO CON VF)"/>
    <s v="ENERO"/>
    <s v="ENERO"/>
    <n v="8"/>
    <m/>
    <s v="LICITACIÓN PÚBLICA"/>
    <s v="NACIÓN"/>
    <n v="157112832"/>
    <m/>
    <s v="NO"/>
    <n v="0"/>
    <s v="N.A"/>
    <s v="GESTIÓN CONTRACTUAL"/>
    <s v="MARÍA DEL ROSARIO BARROS PIMIENTA / CARLOS SANCHEZ ARIZA / AURIS MARGARITA MENDOZA URECHE"/>
    <n v="3422121"/>
    <s v="rosario.barros@caroycuervo.gov.co/javier.vargas@caroycuervo.gov.co/auris.mendoza@caroycuervo.gov.co"/>
    <s v="N.A"/>
    <m/>
    <x v="5"/>
  </r>
  <r>
    <m/>
    <s v="ADMINISTRATIVA Y FINANCIERA"/>
    <x v="1"/>
    <s v="MANTENIMIENTO Y CONSERVACIÓN DE LAS SEDES DEL INSTITUTO CARO Y CUERVO"/>
    <s v="PRESTAR EL SERVICIO DE VIGILANCIA Y SEGURIDAD PARA LAS INSTALACIONES Y BIENES DEL INSTITUTO CARO Y CUERVO, UBICADAS EN LAS SEDES: CASA DE CUERVO, CALLE 10 NO. 4 - 69; CASA RIVAS SACCONI, CALLE 10 NO. 4 - 87 (CARRERA 5 NO. 9 – 62) DE BOGOTÁ D.C Y HACIENDA YERBABUENA, UBICADA EN EL KILÓMETRO 9 MÁS 300 METROS DE LA AUTOPISTA NORTE, VÍA SOPÓ, EN EL MUNICIPIO DE CHÍA, CUNDINAMARCA. - ADQUISICIÓN DE CÁMARA DE SEGURIDAD CON SENSOR PARA INSTALAR EN LA LIBRERÍA YERBABUENA"/>
    <s v="MAYO"/>
    <s v="MAYO"/>
    <n v="8"/>
    <m/>
    <s v="LICITACIÓN PÚBLICA"/>
    <m/>
    <n v="362235899"/>
    <n v="470987557"/>
    <s v="NO"/>
    <n v="0"/>
    <s v="N.A"/>
    <s v="GESTIÓN CONTRACTUAL"/>
    <s v="MARÍA DEL ROSARIO BARROS PIMIENTA / CARLOS SANCHEZ ARIZA / AURIS MARGARITA MENDOZA URECHE"/>
    <n v="3422121"/>
    <s v="rosario.barros@caroycuervo.gov.co/javier.vargas@caroycuervo.gov.co/auris.mendoza@caroycuervo.gov.co"/>
    <s v="N.A"/>
    <m/>
    <x v="5"/>
  </r>
  <r>
    <n v="80111617"/>
    <s v="ADMINISTRATIVA Y FINANCIERA"/>
    <x v="1"/>
    <s v="MANTENIMIENTO Y CONSERVACIÓN DE LAS SEDES DEL INSTITUTO CARO Y CUERVO"/>
    <s v="CONTRATACIÓN PRESTACIÓN DE SERVICIOS PROFESIONALES ARQUITECTO "/>
    <s v="ENERO"/>
    <s v="ENERO"/>
    <n v="11"/>
    <m/>
    <s v="CONTRATACIÓN DIRECTA"/>
    <m/>
    <n v="63717654"/>
    <n v="63717654"/>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TRABAJOS DE MANTENIMIENTO GENERAL Y PUNTUAL DE LAS CUBIERTAS PARA PREVENIR Y CORREGIR FILTRACIONES DE AGUAS LLUVIAS EN LAS CUBIERTAS Y LAS REDES DE CONDUCCIÓN DE AGUAS LLUVIAS, E IMPLEMETACIÓN DE REDES DE RECOLECCIÓN DE AGUAS LLUVIAS EN EL EDIFICIO DE LA IMPRENTA QUE ACTUALMENTE NO CUENTA CON CANALES Y BAJANTES"/>
    <s v="JULIO"/>
    <s v="JULIO"/>
    <n v="2"/>
    <m/>
    <s v="SELECCIÓN ABREVIADA MENOR CUANTÍA"/>
    <m/>
    <n v="35000000"/>
    <n v="3500000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CUMPLIMIENTO DISPOSICIONES NORMATIVAS AMBIENTALES - PLAN INSTITUCIONAL DE GESTIÓN AMBIENTAL (PIGA)"/>
    <s v="CONSTRUCCIÓN DE PRIMERA ETAPA DE AGUA RESIDUAL CONFORME A DISEÑOS ELABORADOS EN 2019"/>
    <s v="JUNIO"/>
    <s v="JUNIO"/>
    <n v="5"/>
    <m/>
    <s v="SELECCIÓN ABREVIADA MENOR CUANTÍA"/>
    <m/>
    <n v="170000000"/>
    <n v="126336434"/>
    <s v="NO"/>
    <n v="0"/>
    <s v="N.A"/>
    <s v="GESTIÓN CONTRACTUAL"/>
    <s v="MARÍA DEL ROSARIO BARROS PIMIENTA / JAVIER MAURICIO VARGAS LÓPEZ / AURIS MARGARITA MENDOZA URECHE"/>
    <n v="3422121"/>
    <s v="rosario.barros@caroycuervo.gov.co/javier.vargas@caroycuervo.gov.co/auris.mendoza@caroycuervo.gov.co"/>
    <s v="N.A"/>
    <m/>
    <x v="5"/>
  </r>
  <r>
    <n v="31162800"/>
    <s v="ADMINISTRATIVA Y FINANCIERA"/>
    <x v="1"/>
    <s v="MANTENIMIENTO Y CONSERVACIÓN DE LAS SEDES DEL INSTITUTO CARO Y CUERVO"/>
    <s v="COMPRAVENTA DE ELEMENTOS DE FERRETERÍA Y BOMBILLERÍA, PARA LAS SEDES DEL INSTITUTO CARO Y CUERVO"/>
    <s v="AGOSTO"/>
    <s v="AGOSTO"/>
    <n v="1"/>
    <n v="15"/>
    <s v="MINIMA CUANTÍA"/>
    <m/>
    <n v="7500000"/>
    <n v="7500000"/>
    <s v="NO"/>
    <n v="0"/>
    <s v="N.A"/>
    <s v="GESTIÓN CONTRACTUAL"/>
    <s v="MARÍA DEL ROSARIO BARROS PIMIENTA / CARLOS SANCHEZ ARIZA / AURIS MARGARITA MENDOZA URECHE"/>
    <n v="3422121"/>
    <s v="rosario.barros@caroycuervo.gov.co/javier.vargas@caroycuervo.gov.co/auris.mendoza@caroycuervo.gov.co"/>
    <s v="N.A"/>
    <m/>
    <x v="5"/>
  </r>
  <r>
    <n v="84131501"/>
    <s v="ADMINISTRATIVA Y FINANCIERA"/>
    <x v="1"/>
    <s v="MANTENIMIENTO Y CONSERVACIÓN DE LAS SEDES DEL INSTITUTO CARO Y CUERVO"/>
    <s v="COMPRAVENTA DE ÚTILES, ELEMENTOS  Y DE OFICINA, PARA LAS DEPENDENCIAS DEL INSTITUTO CARO Y CUERVO"/>
    <s v="MAYO"/>
    <s v="MAYO"/>
    <n v="1"/>
    <m/>
    <s v="MINIMA CUANTÍA"/>
    <m/>
    <n v="2000000"/>
    <n v="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MANTENIMIENTO GENERAL DE PINTURA FACHADAS EXTERIORES CASAS CUERVO RIVAS SACCONI Y EDIFICIO NUEVO"/>
    <s v="JUNIO"/>
    <s v="JUNIO"/>
    <n v="2"/>
    <n v="15"/>
    <s v="SELECCIÓN ABREVIADA MENOR CUANTÍA"/>
    <m/>
    <n v="35500000"/>
    <n v="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CUMPLIMIENTO DISPOSICIONES NORMATIVAS AMBIENTALES - PLAN INSTITUCIONAL DE GESTIÓN AMBIENTAL (PIGA)"/>
    <m/>
    <s v="MARZO"/>
    <s v="MARZO"/>
    <n v="9"/>
    <m/>
    <s v="MINIMA CUANTÍA"/>
    <m/>
    <n v="2200000"/>
    <n v="220000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CUMPLIMIENTO DISPOSICIONES NORMATIVAS AMBIENTALES - PLAN INSTITUCIONAL DE GESTIÓN AMBIENTAL (PIGA)"/>
    <s v="ADECUACIÓN DE CUARTO DE ALMACENAMIENTO DE RESIDUOS PELIGROSOS SEDE YERBABUENA "/>
    <s v="AGOSTO"/>
    <s v="AGOSTO"/>
    <n v="3"/>
    <m/>
    <s v="MINIMA CUANTÍA"/>
    <m/>
    <n v="10000000"/>
    <n v="1000000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TRAS LA EJECUCIÓN DE LA PRIMERA FASE DE LA IMPLEMENTACIÓN DEL AREA PILOTO DE RESTAURACIÓN ECOLÓGICA, SE PROPONE DAR INCIO A UNA SIGUIENTE ETAPA CONSISTENTE EN MANTENIMIENTO, OPERACIÓN E INVESTIGACIÓN. (BUSCAR CONVENIO CON UNIVERSIDADES) - LOS APORTES DE LA U DEBEN SER EN DINERO"/>
    <s v="JUNIO"/>
    <s v="JUNIO"/>
    <n v="6"/>
    <m/>
    <s v="SELECCIÓN ABREVIADA MENOR CUANTÍA"/>
    <m/>
    <n v="38000000"/>
    <n v="0"/>
    <s v="NO"/>
    <n v="0"/>
    <s v="N.A"/>
    <s v="GESTIÓN CONTRACTUAL"/>
    <s v="MARÍA DEL ROSARIO BARROS PIMIENTA / JAVIER MAURICIO VARGAS LÓPEZ / AURIS MARGARITA MENDOZA URECHE"/>
    <n v="3422121"/>
    <s v="rosario.barros@caroycuervo.gov.co/javier.vargas@caroycuervo.gov.co/auris.mendoza@caroycuervo.gov.co"/>
    <s v="N.A"/>
    <m/>
    <x v="5"/>
  </r>
  <r>
    <n v="78181505"/>
    <s v="ADMINISTRATIVA Y FINANCIERA"/>
    <x v="1"/>
    <s v="MANTENIMIENTO Y CONSERVACIÓN DE LAS SEDES DEL INSTITUTO CARO Y CUERVO"/>
    <s v="PRESTAR EL SERVICIO DE MANTENIMIENTO PREVENTIVO Y CORRECTIVO, INCLUIDO EL SUMINISTRO DE INSUMOS Y MANO DE OBRA DE LOS TRACTORES, MOTOSIERRA Y LA CORTAMALEZA, DE PROPIEDAD DEL INSTITUTO CARO Y CUERVO."/>
    <s v="AGOSTO"/>
    <s v="AGOSTO"/>
    <n v="1"/>
    <n v="15"/>
    <s v="MINIMA CUANTÍA"/>
    <m/>
    <n v="8000000"/>
    <n v="10300000"/>
    <s v="NO"/>
    <n v="0"/>
    <s v="N.A"/>
    <s v="GESTIÓN CONTRACTUAL"/>
    <s v="MARÍA DEL ROSARIO BARROS PIMIENTA / CARLOS SANCHEZ/ AURIS MARGARITA MENDOZA URECHE"/>
    <n v="3422121"/>
    <s v="rosario.barros@caroycuervo.gov.co/javier.vargas@caroycuervo.gov.co/auris.mendoza@caroycuervo.gov.co"/>
    <s v="N.A"/>
    <m/>
    <x v="5"/>
  </r>
  <r>
    <m/>
    <s v="ADMINISTRATIVA Y FINANCIERA"/>
    <x v="1"/>
    <s v="CUMPLIMIENTO DISPOSICIONES NORMATIVAS AMBIENTALES - PLAN INSTITUCIONAL DE GESTIÓN AMBIENTAL (PIGA)"/>
    <s v="IMPLEMENTACIÓN DEL PLAN DE USO EFICIENTE Y AHORRO DEL AGUA"/>
    <s v="JULIO"/>
    <s v="JULIO"/>
    <n v="2"/>
    <m/>
    <s v="MINIMA CUANTÍA"/>
    <m/>
    <n v="3126080"/>
    <n v="312600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PUBLICACIÓN PLANTAS PALABRAS VERSION III"/>
    <s v="ABRIL"/>
    <s v="ABRIL"/>
    <n v="1"/>
    <n v="15"/>
    <s v="CONTRATACIÓN DIRECTA"/>
    <m/>
    <n v="4850000"/>
    <n v="4850000"/>
    <s v="NO"/>
    <n v="0"/>
    <s v="N.A"/>
    <s v="GESTIÓN CONTRACTUAL"/>
    <s v="MARÍA DEL ROSARIO BARROS PIMIENTA / JAVIER MAURICIO VARGAS LÓPEZ / AURIS MARGARITA MENDOZA URECHE"/>
    <n v="3422121"/>
    <s v="rosario.barros@caroycuervo.gov.co/javier.vargas@caroycuervo.gov.co/auris.mendoza@caroycuervo.gov.co"/>
    <s v="N.A"/>
    <m/>
    <x v="5"/>
  </r>
  <r>
    <n v="46191600"/>
    <s v="ADMINISTRATIVA Y FINANCIERA"/>
    <x v="1"/>
    <s v="MANTENIMIENTO Y CONSERVACIÓN DE LAS SEDES DEL INSTITUTO CARO Y CUERVO"/>
    <s v="COMPRA Y PRESTACIÓN DEL SERVICIO DE REVISIÓN, RECARGA Y MANTENIMIENTO PARA LOS EXTINTORES DE LAS DOS SEDES Y AUTOMOTORES DEL INSTITUTO CARO Y CUERVO."/>
    <s v="OCTUBRE"/>
    <s v="OCTUBRE"/>
    <n v="1"/>
    <m/>
    <s v="MINIMA CUANTÍA"/>
    <m/>
    <n v="2000000"/>
    <n v="200000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CUMPLIMIENTO DISPOSICIONES NORMATIVAS AMBIENTALES - PLAN INSTITUCIONAL DE GESTIÓN AMBIENTAL (PIGA)"/>
    <s v="REALIZAR LA CARACTERIZACIÓN DEL AGUA RESIDUAL TRATADA DE LA SEDE HACIENDA YERBABUENA"/>
    <s v="MARZO"/>
    <s v="MARZO"/>
    <n v="1"/>
    <m/>
    <s v="MINIMA CUANTÍA"/>
    <m/>
    <n v="5025000"/>
    <n v="502500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MANTENIMIENTO DE ASCENSOR"/>
    <s v="MARZO"/>
    <s v="MARZO"/>
    <n v="11"/>
    <m/>
    <s v="MINIMA CUANTÍA"/>
    <m/>
    <n v="5927086"/>
    <n v="5927086"/>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SUMINISTRO COMBUSTIBLE PARA EL PARQUE AUTOMOTOR DEL INSTITUTO CARO Y CUERVO"/>
    <s v="ENERO"/>
    <s v="ENERO"/>
    <n v="12"/>
    <m/>
    <s v="ACUERDO MARCO"/>
    <m/>
    <n v="12000000"/>
    <n v="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ADECUACIÓN DE LAS INSTALACIONES DEL INSTITUTO CARO Y CUERVO"/>
    <s v="SUMINISTRO E INSTALACIÓN DE PLANTA ELÉCTRICA Y ACTUALIZACIÓN DE TABLEROS, CABLEADO, E INFRAESTRUCTURA PARA DAR CUMPLIMIENTO A LA NORMA TÉCNICA VIGENTE."/>
    <s v="AGOSTO"/>
    <s v="AGOSTO"/>
    <n v="3"/>
    <m/>
    <s v="SELECCIÓN ABREVIADA MENOR CUANTÍA"/>
    <m/>
    <n v="142033136"/>
    <n v="0"/>
    <s v="NO"/>
    <n v="0"/>
    <s v="N.A"/>
    <s v="GESTIÓN CONTRACTUAL"/>
    <s v="MARÍA DEL ROSARIO BARROS PIMIENTA / JAVIER MAURICIO VARGAS LÓPEZ / AURIS MARGARITA MENDOZA URECHE"/>
    <n v="3422121"/>
    <s v="rosario.barros@caroycuervo.gov.co/javier.vargas@caroycuervo.gov.co/auris.mendoza@caroycuervo.gov.co"/>
    <s v="N.A"/>
    <m/>
    <x v="5"/>
  </r>
  <r>
    <m/>
    <s v="ADMINISTRATIVA Y FINANCIERA"/>
    <x v="1"/>
    <s v="MANTENIMIENTO Y CONSERVACIÓN DE LAS SEDES DEL INSTITUTO CARO Y CUERVO"/>
    <s v="SERVICIOS DE CANAL DE INTERNET PARA EL INSTITUTO CARO Y CUERVO"/>
    <s v="ENERO"/>
    <s v="ENERO"/>
    <n v="11"/>
    <m/>
    <s v="ACUERDO MARCO"/>
    <s v="NACIÓN"/>
    <n v="18000000"/>
    <n v="11552995"/>
    <s v="NO"/>
    <n v="0"/>
    <s v="N.A"/>
    <s v="GESTIÓN CONTRACTUAL"/>
    <s v="HEILIN GUARNIZO/MARÍA DEL ROSARIO BARROS PIMIENTA"/>
    <n v="3422121"/>
    <s v="lida.pineda@caroycuervo.gov.co , rosario.barros@caroycuervo.gov.co"/>
    <s v="N.A"/>
    <m/>
    <x v="5"/>
  </r>
  <r>
    <m/>
    <s v="ADMINISTRATIVA Y FINANCIERA"/>
    <x v="1"/>
    <s v="MANTENIMIENTO Y CONSERVACIÓN DE LAS SEDES DEL INSTITUTO CARO Y CUERVO"/>
    <s v="SERVICIOS DE LICENCIA LACNIC PARA GARANTIZAR EL DIRECTORIO IP DEL INSTITUTO"/>
    <s v="NOVIEMBRE"/>
    <s v="NOVIEMBRE"/>
    <n v="1"/>
    <m/>
    <s v="ACTO ADMINISTRATIVO"/>
    <m/>
    <n v="2500000"/>
    <n v="2500000"/>
    <s v="NO"/>
    <n v="0"/>
    <s v="N.A"/>
    <s v="GESTIÓN CONTRACTUAL"/>
    <s v="HEILIN GUARNIZO/MARÍA DEL ROSARIO BARROS PIMIENTA"/>
    <n v="3422121"/>
    <s v="lida.pineda@caroycuervo.gov.co , rosario.barros@caroycuervo.gov.co"/>
    <s v="N.A"/>
    <m/>
    <x v="5"/>
  </r>
  <r>
    <m/>
    <s v="DIRECCIÓN GENERAL"/>
    <x v="1"/>
    <s v="MANTENIMIENTO Y CONSERVACIÓN DE LAS SEDES DEL INSTITUTO CARO Y CUERVO"/>
    <s v="CAJA MENOR"/>
    <s v="ENERO"/>
    <s v="ENERO"/>
    <m/>
    <m/>
    <s v="ACTO ADMINISTRATIVO"/>
    <s v="NACIÓN"/>
    <n v="13932000"/>
    <n v="30164505"/>
    <s v="NO"/>
    <n v="0"/>
    <s v="N.A"/>
    <s v="GESTIÓN CONTRACTUAL"/>
    <s v="CLAUDIA DEL CARMEN VERA"/>
    <n v="3422121"/>
    <s v="claudia.vera@caroycuervo.gov.co"/>
    <s v="N.A"/>
    <m/>
    <x v="5"/>
  </r>
  <r>
    <m/>
    <s v="DIRECCIÓN GENERAL"/>
    <x v="3"/>
    <s v="DIMENSIÓN JURIDICA DEL INSTITUTO CARO Y CUERVO"/>
    <s v="CONTRATACIÓN DE UN PROFESIONAL EN DERECHO PARA LA PRESTACIÓN DE SERVICIOS PROFESIONALES COMO ASESOR JURÍDICO DEL INSTITUTO CARO Y CUERVO"/>
    <s v="ENERO"/>
    <s v="ENERO"/>
    <n v="11"/>
    <n v="15"/>
    <s v="CONTRATACIÓN DIRECTA"/>
    <m/>
    <n v="84548426"/>
    <n v="84548426"/>
    <s v="NO"/>
    <n v="0"/>
    <s v="N.A"/>
    <s v="GESTIÓN CONTRACTUAL"/>
    <s v="CARMÉN MILLÁN"/>
    <n v="3422121"/>
    <s v="carmen.millan@caroycuervo.gov.co"/>
    <s v="N.A"/>
    <m/>
    <x v="5"/>
  </r>
  <r>
    <m/>
    <s v="DIRECCIÓN GENERAL"/>
    <x v="3"/>
    <s v=""/>
    <s v="CONSEJEROS DEL CONSEJO DIRECTIVO"/>
    <s v="DICIEMBRE"/>
    <s v="DICIEMBRE"/>
    <m/>
    <m/>
    <s v="ACTO ADMINISTRATIVO"/>
    <m/>
    <n v="57000000"/>
    <n v="57000000"/>
    <s v="NO"/>
    <n v="0"/>
    <s v="N.A"/>
    <s v="GESTIÓN CONTRACTUAL"/>
    <s v="AURIS MARGARITA MENDOZA URECHE"/>
    <n v="3422121"/>
    <s v="auris.mendoza@caroycuervo.gov.co"/>
    <s v="N.A"/>
    <m/>
    <x v="5"/>
  </r>
  <r>
    <m/>
    <s v="ADMINISTRATIVA Y FINANCIERA"/>
    <x v="2"/>
    <s v="CONTABILIDAD Y PRESUPUESTO"/>
    <s v="GASTOS BANCARIOS Y MONETIZACIÓN DE INGRESOS EN LA VIGENCIA 2022"/>
    <s v="ENERO"/>
    <s v="ENERO"/>
    <n v="11"/>
    <n v="30"/>
    <m/>
    <s v="PROPIOS"/>
    <n v="17258285"/>
    <n v="14865017"/>
    <s v="NO"/>
    <n v="0"/>
    <s v="N.A"/>
    <s v="GESTIÓN CONTRACTUAL"/>
    <s v="AURIS MARGARITA MENDOZA URECHE"/>
    <n v="3422121"/>
    <s v="auris.mendoza@caroycuervo.gov.co"/>
    <s v="N.A"/>
    <m/>
    <x v="5"/>
  </r>
  <r>
    <m/>
    <s v="ADMINISTRATIVA Y FINANCIERA"/>
    <x v="2"/>
    <s v="CONTABILIDAD Y PRESUPUESTO"/>
    <s v="ARRENDAMIENTO DE DATAFONO"/>
    <s v="ENERO"/>
    <s v="ENERO"/>
    <m/>
    <m/>
    <m/>
    <s v="PROPIOS"/>
    <n v="997141"/>
    <n v="858864"/>
    <s v="NO"/>
    <n v="0"/>
    <s v="N.A"/>
    <s v="GESTIÓN CONTRACTUAL"/>
    <s v="AURIS MARGARITA MENDOZA URECHE"/>
    <n v="3422121"/>
    <s v="auris.mendoza@caroycuervo.gov.co"/>
    <s v="N.A"/>
    <m/>
    <x v="5"/>
  </r>
  <r>
    <m/>
    <s v="ADMINISTRATIVA Y FINANCIERA"/>
    <x v="2"/>
    <s v="CONTABILIDAD Y PRESUPUESTO"/>
    <s v="GASTOS BANCARIOS POR EMBARGOS EN LA NÓMINA"/>
    <s v="ENERO"/>
    <s v="ENERO"/>
    <n v="11"/>
    <m/>
    <m/>
    <s v="NACIÓN"/>
    <n v="241488"/>
    <m/>
    <m/>
    <n v="0"/>
    <s v="N.A"/>
    <s v="GESTIÓN CONTRACTUAL"/>
    <s v="AURIS MARGARITA MENDOZA URECHE"/>
    <n v="3422121"/>
    <s v="auris.mendoza@caroycuervo.gov.co"/>
    <s v="N.A"/>
    <m/>
    <x v="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6">
  <r>
    <n v="86101600"/>
    <s v="ACADÉMICA"/>
    <s v="FACULTAD SEMINARIO ANDRÉS BELLO"/>
    <s v="FORMACIÓN"/>
    <s v="MAESTRÍA EN ESCRITURA CREATIVA"/>
    <s v="JURADOS DE TRABAJO DE GRADO. 27 TRABAJOS DE GRADO, 2 JURADOS POR TRABAJO PARA UN TOTAL DE 54 JURADOS. VALOR: $454.263 POR JURADO."/>
    <n v="2"/>
    <n v="2"/>
    <n v="3"/>
    <n v="0"/>
    <s v="CONVENIO"/>
    <x v="0"/>
    <n v="24530202"/>
    <m/>
    <n v="24530202"/>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MAESTRÍA EN ESCRITURA CREATIVA"/>
    <s v="DIRECTORES DE TRABAJO DE GRADO. COMO SON 2 TRABAJOS DE GRADO A DIRIGIR, NECESITAMOS 7 DIRECTORES  PARA EQUILIBRAR LA CARGA LABORAL. VALOR: $1.316.705 POR DIRECTOR"/>
    <n v="2"/>
    <n v="2"/>
    <n v="3"/>
    <n v="0"/>
    <s v="CONVENIO"/>
    <x v="0"/>
    <n v="9216935"/>
    <m/>
    <n v="9216935"/>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MAESTRÍA EN ESTUDIOS EDITORIALES"/>
    <s v="NUEVO ÍTEM: PAGO PARA DIEZ (10) JURADOS DE TRABAJO DE GRADO EXTERNOS"/>
    <n v="2"/>
    <n v="2"/>
    <n v="10"/>
    <n v="0"/>
    <s v="CONVENIO"/>
    <x v="0"/>
    <n v="4542630"/>
    <m/>
    <n v="4542630"/>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MAESTRÍA EN LINGÜÍSTICA"/>
    <s v="DOCENTE HORA CÁTEDRA CON DOCTORADO PARA UNA ELECTIVA I QUE AL MISMO TIEMPO SE ABRE COMO UN CURSO DE EXTENSIÓN EN EL MES DE FEBRERO "/>
    <n v="2"/>
    <n v="5"/>
    <n v="4"/>
    <n v="0"/>
    <s v="CONVENIO"/>
    <x v="0"/>
    <n v="6822160"/>
    <m/>
    <n v="6822160"/>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MAESTRÍA EN LINGÜÍSTICA"/>
    <s v="DOCENTE HORA CÁTEDRA CON DOCTORADO PARA UNA ELECTIVA I QUE AL MISMO TIEMPO SE ABRE COMO UN CURSO DE EXTENSIÓN EN EL MES DE AGOSTO"/>
    <n v="8"/>
    <n v="5"/>
    <n v="4"/>
    <n v="0"/>
    <s v="CONVENIO"/>
    <x v="0"/>
    <n v="6822160"/>
    <m/>
    <n v="6822160"/>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MAESTRÍA EN LINGÜÍSTICA"/>
    <s v="DIFUSIÓN POR REDES Y PAUTAS PARA LAS JORNADAS DE INVESTIGACIÓN JOSÉ JOAQUÍN MONTES"/>
    <n v="2"/>
    <n v="1"/>
    <n v="0"/>
    <n v="0"/>
    <s v="CONVENIO"/>
    <x v="0"/>
    <n v="1000000"/>
    <m/>
    <n v="1000000"/>
    <m/>
    <n v="2018011000290"/>
    <x v="0"/>
    <s v="C-3302-1603-2-0-3302070"/>
    <x v="1"/>
    <s v="REALIZAR ACTIVIDADES DE CONSOLIDACIÓN ACADÉMICA"/>
    <s v="NO"/>
    <n v="0"/>
    <s v="N.A"/>
    <s v="GESTIÓN CONTRACTUAL"/>
    <s v="MARÍA OFELIA ROS MATTURRO"/>
    <n v="3422121"/>
    <s v="ofelia.ros@caroycuervo.gov.co"/>
    <s v="N.A"/>
    <s v="CONVENIO"/>
    <m/>
    <m/>
    <m/>
    <m/>
  </r>
  <r>
    <n v="86101600"/>
    <s v="ACADÉMICA"/>
    <s v="FACULTAD SEMINARIO ANDRÉS BELLO"/>
    <s v="FORMACIÓN"/>
    <s v="MAESTRÍA EN LINGÜÍSTICA"/>
    <s v="1 DIRECTOR DE TRABAJO EXTERNO"/>
    <n v="2"/>
    <n v="1"/>
    <n v="0"/>
    <n v="0"/>
    <s v="CONVENIO"/>
    <x v="0"/>
    <n v="1362789"/>
    <m/>
    <n v="1362789"/>
    <m/>
    <n v="2018011000290"/>
    <x v="0"/>
    <s v="C-3302-1603-2-0-3302067"/>
    <x v="0"/>
    <s v="EJECUTAR PROGRAMAS DE POSGRADO CON REGISTRO CALIFICADO VIGENTE"/>
    <s v="NO"/>
    <n v="0"/>
    <s v="N.A"/>
    <s v="GESTIÓN CONTRACTUAL"/>
    <s v="MARÍA OFELIA ROS MATTURRO"/>
    <n v="3422121"/>
    <s v="ofelia.ros@caroycuervo.gov.co"/>
    <s v="N.A"/>
    <s v="CONVENIO"/>
    <m/>
    <m/>
    <m/>
    <m/>
  </r>
  <r>
    <n v="90121500"/>
    <s v="ACADÉMICA"/>
    <s v="FACULTAD SEMINARIO ANDRÉS BELLO"/>
    <s v="FORMACIÓN"/>
    <s v="MAESTRÍA EN LINGÜÍSTICA"/>
    <s v="8 JURADOS DE TRABAJO DE GRADO EXTERNOS PARA EVALUAR 8 TESIS "/>
    <n v="8"/>
    <n v="1"/>
    <n v="0"/>
    <n v="0"/>
    <s v="CONVENIO"/>
    <x v="0"/>
    <n v="3634104"/>
    <m/>
    <n v="3634104"/>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MAESTRÍA EN LINGÜÍSTICA"/>
    <s v="TALLER DE ESCRITURA ACADÉMICA. ACTIVIDAD DE APROPIACIÓN SOCIAL DEL CONOCIMIENTO DE LA MAESTRÍA EN LINGÜÍSTICA DIRIGIDA A ESTUDIANTES UNIVERSITARIOS DEL             PACÍFICO DE COLOMBIA - ACTIVIDAD DEL CONVENIO UTCH-ICC"/>
    <n v="9"/>
    <n v="1"/>
    <n v="0"/>
    <n v="0"/>
    <s v="CONTRATACIÓN DIRECTA"/>
    <x v="1"/>
    <n v="6000000"/>
    <m/>
    <n v="6000000"/>
    <m/>
    <n v="2018011000290"/>
    <x v="0"/>
    <s v="C-3302-1603-2-0-3302070"/>
    <x v="1"/>
    <s v="REALIZAR ACTIVIDADES DE CONSOLIDACIÓN ACADÉMICA"/>
    <s v="NO"/>
    <n v="0"/>
    <s v="N.A"/>
    <s v="GESTIÓN CONTRACTUAL"/>
    <s v="MARÍA OFELIA ROS MATTURRO"/>
    <n v="3422121"/>
    <s v="ofelia.ros@caroycuervo.gov.co"/>
    <s v="N.A"/>
    <s v="CONVENIO"/>
    <m/>
    <m/>
    <m/>
    <m/>
  </r>
  <r>
    <n v="86121700"/>
    <s v="ACADÉMICA"/>
    <s v="FACULTAD SEMINARIO ANDRÉS BELLO"/>
    <s v="FORMACIÓN"/>
    <s v="MAESTRÍA EN LITERATURA Y CULTURA"/>
    <s v="PAGO A JURADOS DE TRABAJOS DE GRADO-8"/>
    <n v="2"/>
    <n v="2"/>
    <n v="0"/>
    <n v="0"/>
    <s v="CONVENIO"/>
    <x v="0"/>
    <n v="3634104"/>
    <m/>
    <n v="3634104"/>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MAESTRÍA EN ENSEÑANZA DE ESPAÑOL COMO LENGUA EXTRANJERA Y SEGUNDA LENGUA"/>
    <s v="DOCENTE HORA CÁTEDRA MAESTRÍA ELE/L2  32 HORAS"/>
    <n v="2"/>
    <n v="2"/>
    <n v="4"/>
    <n v="15"/>
    <s v="CONVENIO"/>
    <x v="0"/>
    <n v="6789217"/>
    <m/>
    <n v="6789217"/>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MAESTRÍA EN ENSEÑANZA DE ESPAÑOL COMO LENGUA EXTRANJERA Y SEGUNDA LENGUA"/>
    <s v="HONORARIOS INVITADO INTERNACIONAL -DICTADO DE SEMINARIO DE 15 HR EN LA MESTRÍA HONORARIO"/>
    <n v="1"/>
    <n v="1"/>
    <n v="0"/>
    <n v="0"/>
    <s v="CONVENIO"/>
    <x v="1"/>
    <n v="3104752"/>
    <m/>
    <n v="3104752"/>
    <m/>
    <n v="2018011000290"/>
    <x v="0"/>
    <s v="C-3302-1603-2-0-3302070"/>
    <x v="1"/>
    <s v="REALIZAR ACTIVIDADES DE CONSOLIDACIÓN ACADÉMICA"/>
    <s v="NO"/>
    <n v="0"/>
    <s v="N.A"/>
    <s v="GESTIÓN CONTRACTUAL"/>
    <s v="MARÍA OFELIA ROS MATTURRO"/>
    <n v="3422121"/>
    <s v="ofelia.ros@caroycuervo.gov.co"/>
    <s v="N.A"/>
    <s v="CONVENIO"/>
    <m/>
    <m/>
    <m/>
    <m/>
  </r>
  <r>
    <n v="80161504"/>
    <s v="ACADÉMICA"/>
    <s v="FACULTAD SEMINARIO ANDRÉS BELLO"/>
    <s v="FORMACIÓN"/>
    <s v="FACULTAD"/>
    <s v="DIPLOMAS"/>
    <n v="1"/>
    <n v="1"/>
    <n v="10"/>
    <n v="0"/>
    <s v="CONTRATACIÓN DIRECTA"/>
    <x v="1"/>
    <n v="3000000"/>
    <m/>
    <n v="3000000"/>
    <m/>
    <n v="2018011000290"/>
    <x v="0"/>
    <s v="C-3302-1603-2-0-3302070"/>
    <x v="1"/>
    <s v="REALIZAR ACTIVIDADES DE CONSOLIDACIÓN ACADÉMICA"/>
    <s v="NO"/>
    <n v="0"/>
    <s v="N.A"/>
    <s v="GESTIÓN CONTRACTUAL"/>
    <s v="MARÍA OFELIA ROS MATTURRO"/>
    <n v="3422121"/>
    <s v="ofelia.ros@caroycuervo.gov.co"/>
    <s v="N.A"/>
    <s v="CONVENIO"/>
    <m/>
    <m/>
    <m/>
    <m/>
  </r>
  <r>
    <n v="86101600"/>
    <s v="ACADÉMICA"/>
    <s v="FACULTAD SEMINARIO ANDRÉS BELLO"/>
    <s v="FORMACIÓN"/>
    <s v="BIENESTAR"/>
    <s v="ACTIVIDADES EN EL MARCO DEL PROGRAMA DE BIENESTAR UNIVERSITARIO DE LA FSAB (ATENCIÓN Y PREVENCIÓN EN SALUD, DEPORTES, RECREACIÓN Y CULTURA Y PROMOCIÓN SOCIOECONÓMICA)"/>
    <n v="2"/>
    <n v="2"/>
    <n v="11"/>
    <n v="0"/>
    <s v="CONTRATACIÓN DIRECTA"/>
    <x v="0"/>
    <n v="11950000"/>
    <m/>
    <n v="11950000"/>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BIENESTAR"/>
    <s v="LECCIÓN INAUGURAL (2 SEMESTRES)"/>
    <n v="2"/>
    <n v="2"/>
    <n v="0"/>
    <n v="0"/>
    <s v="CONTRATACIÓN DIRECTA"/>
    <x v="0"/>
    <n v="1876735"/>
    <m/>
    <n v="1876735"/>
    <m/>
    <n v="2018011000290"/>
    <x v="0"/>
    <s v="C-3302-1603-2-0-3302067"/>
    <x v="0"/>
    <s v="EJECUTAR PROGRAMAS DE POSGRADO CON REGISTRO CALIFICADO VIGENTE"/>
    <s v="NO"/>
    <n v="0"/>
    <s v="N.A"/>
    <s v="GESTIÓN CONTRACTUAL"/>
    <s v="MARÍA OFELIA ROS MATTURRO"/>
    <n v="3422121"/>
    <s v="ofelia.ros@caroycuervo.gov.co"/>
    <s v="N.A"/>
    <s v="CONVENIO"/>
    <m/>
    <m/>
    <m/>
    <m/>
  </r>
  <r>
    <n v="86101600"/>
    <s v="ACADÉMICA"/>
    <s v="FACULTAD SEMINARIO ANDRÉS BELLO"/>
    <s v="FORMACIÓN"/>
    <s v="BIENESTAR"/>
    <s v="LECCIÓN INAUGURAL (2 SEMESTRES)"/>
    <n v="1"/>
    <n v="1"/>
    <n v="0"/>
    <m/>
    <s v="CONTRATACIÓN DIRECTA"/>
    <x v="1"/>
    <n v="123265"/>
    <m/>
    <n v="123265"/>
    <m/>
    <n v="2018011000290"/>
    <x v="0"/>
    <s v="C-3302-1603-2-0-3302067"/>
    <x v="0"/>
    <s v="EJECUTAR PROGRAMAS DE POSGRADO CON REGISTRO CALIFICADO VIGENTE"/>
    <s v="NO"/>
    <n v="0"/>
    <s v="N.A"/>
    <s v="GESTIÓN CONTRACTUAL"/>
    <s v="MARÍA OFELIA ROS MATTURRO"/>
    <n v="3422121"/>
    <s v="ofelia.ros@caroycuervo.gov.co"/>
    <s v="N.A"/>
    <s v="CONVENIO"/>
    <m/>
    <m/>
    <m/>
    <m/>
  </r>
  <r>
    <n v="80111621"/>
    <s v="ACADÉMICA"/>
    <s v="INVESTIGACIÓN"/>
    <s v="INVESTIGACIÓN"/>
    <s v="DOCUMENTOS PARA LA HISTORIA LINGÜÍSTICA DE COLOMBIA SIGLOS XVI- XIX SEGUNDA FASE (2021-2022) VIGENCIA 2022"/>
    <s v="CONTRATO DISEÑADOR GRÁFICO"/>
    <n v="5"/>
    <m/>
    <n v="6"/>
    <m/>
    <s v="CONTRATACIÓN DIRECTA"/>
    <x v="0"/>
    <n v="9781200"/>
    <m/>
    <n v="9781200"/>
    <n v="1630200"/>
    <n v="2018011000290"/>
    <x v="0"/>
    <s v="C-3302-1603-2-0-3302001"/>
    <x v="2"/>
    <s v="DISEÑAR, APROBAR Y EJECUTAR LOS PROYECTOS DE INVESTIGACIÓN"/>
    <s v="NO"/>
    <n v="0"/>
    <s v="N.A"/>
    <s v="GESTIÓN CONTRACTUAL"/>
    <s v="JULIO BERNAL"/>
    <n v="3422121"/>
    <s v="julio.bernal@caroycuervo.gov.co "/>
    <s v="DIANA ZAMBRANO"/>
    <m/>
    <s v="CRISTIAN VELANDIA"/>
    <s v="DANIELA LEÓN"/>
    <m/>
    <s v="REQUIERE AJUSTES ADICIONALES AL EP. CAMPOS PRESUPUESTALES YA AJUSTADOS POR PLANEACIÓN ACORDE CON EL PAA"/>
  </r>
  <r>
    <n v="81111902"/>
    <s v="ACADÉMICA"/>
    <s v="GRUPO DE BIBLIOTECA"/>
    <s v="INVESTIGACIÓN"/>
    <s v="DESARROLLO DE COLECCIONES"/>
    <s v="SUSCRIPCIÓN BASES DE DATOS - RENOVACIÓN BASE DE DATOS JSTOR"/>
    <n v="1"/>
    <n v="1"/>
    <n v="1"/>
    <m/>
    <s v="CONTRATACIÓN DIRECTA"/>
    <x v="0"/>
    <n v="11025000"/>
    <m/>
    <n v="11025000"/>
    <m/>
    <n v="2018011000319"/>
    <x v="1"/>
    <s v="C-3301-1603-2-0-3301085"/>
    <x v="3"/>
    <s v="ADQUIRIR LAS HERRAMIENTAS TECNOLÓGICAS PARA GARANTIZAR EL FUNCIONAMIENTO DE LA BIBLIOTECA"/>
    <s v="NO"/>
    <n v="0"/>
    <s v="N.A"/>
    <s v="GESTIÓN CONTRACTUAL"/>
    <s v="LUZ CLEMENCIA MEJÍA MUÑOZ"/>
    <n v="3422121"/>
    <s v="biblioteca@caroycuervo.gov.co "/>
    <s v="N.A"/>
    <s v="Esta renovación no se realizó en el 2021. Se renueva en el 2022. No es posible eliminar"/>
    <s v="DIANA RAMÍREZ"/>
    <m/>
    <m/>
    <m/>
  </r>
  <r>
    <n v="43232609"/>
    <s v="ACADÉMICA"/>
    <s v="GRUPO DE BIBLIOTECA"/>
    <s v="INVESTIGACIÓN"/>
    <s v="SISTEMATIZACIÓN DE LA BIBLIOTECA"/>
    <s v="MANTENIMIENTO Y SERVICIO DE HOSTING DEL SISTEMA DE INFORMACIÓN BIBLIOGRÁFICO KOHA MEDIENTE EL CUAL SE ADMINISTRAN LAS COLECCIONES Y SERVICIO BIBIOTECARIOS EN LAS DOS SEDES."/>
    <n v="8"/>
    <n v="8"/>
    <n v="11"/>
    <n v="25"/>
    <s v="CONTRATACIÓN DIRECTA"/>
    <x v="0"/>
    <n v="15980000"/>
    <m/>
    <n v="15980000"/>
    <m/>
    <n v="2018011000319"/>
    <x v="1"/>
    <s v="C-3301-1603-2-0-3301085"/>
    <x v="3"/>
    <s v="ADQUIRIR LAS HERRAMIENTAS TECNOLÓGICAS PARA GARANTIZAR EL FUNCIONAMIENTO DE LA BIBLIOTECA"/>
    <s v="NO"/>
    <n v="0"/>
    <s v="N.A"/>
    <s v="GESTIÓN CONTRACTUAL"/>
    <s v="LUZ CLEMENCIA MEJÍA MUÑOZ"/>
    <n v="3422121"/>
    <s v="biblioteca@caroycuervo.gov.co "/>
    <s v="N.A"/>
    <s v="Esta renovación no se realizó en el 2021. Se renueva en el 2022. No es posible eliminar"/>
    <m/>
    <m/>
    <m/>
    <m/>
  </r>
  <r>
    <s v="86141501; 90121603"/>
    <s v="ACADÉMICA"/>
    <s v="EQUIPO DE EDUCACIÓN CONTINUA"/>
    <s v="FORMACIÓN"/>
    <s v="EDUCACIÓN CONTINUA"/>
    <s v="CONTRATACIÓN DE SERVICIOS PROFESIONALES PARA APOYAR LA FORMACIÓN VIRTUAL DEL ICC "/>
    <n v="1"/>
    <n v="1"/>
    <n v="9"/>
    <n v="15"/>
    <s v="CONTRATACIÓN DIRECTA"/>
    <x v="0"/>
    <n v="50000000"/>
    <m/>
    <n v="50000000"/>
    <n v="5263158"/>
    <n v="2018011000290"/>
    <x v="0"/>
    <s v="C-3302-1603-2-0-3302066"/>
    <x v="4"/>
    <s v="PROGRAMAR, DISEÑAR Y OFERTAR PROGRAMAS DE EDUCACIÓN INFORMAL"/>
    <s v="NO"/>
    <n v="0"/>
    <s v="N.A"/>
    <s v="GESTIÓN CONTRACTUAL"/>
    <s v="JUAN MANUEL ESPINOSA RESTREPO"/>
    <n v="3422121"/>
    <s v="juan.espinosa@caroycuervo.gov.co"/>
    <s v="MARTA OSORNO"/>
    <s v="N.A"/>
    <s v="CRISTIAN VELANDIA"/>
    <s v="GERMÁN BOLAÑOS"/>
    <s v="CINDY FLORIDO"/>
    <s v="Otrosí por 6'000.000. Verificar supervisores"/>
  </r>
  <r>
    <n v="86101700"/>
    <s v="ACADÉMICA"/>
    <s v="EQUIPO DE EDUCACIÓN CONTINUA"/>
    <s v="FORMACIÓN"/>
    <s v="EDUCACIÓN CONTINUA"/>
    <s v="DOCENTE CURSO DE ESPAÑOL PARA EXTRANJEROS (420 HORAS POR 5 CURSOS) (MELE)"/>
    <n v="2"/>
    <n v="2"/>
    <n v="8"/>
    <n v="15"/>
    <s v="CONTRATACIÓN DIRECTA"/>
    <x v="0"/>
    <n v="16800000"/>
    <m/>
    <n v="16800000"/>
    <n v="1976470"/>
    <n v="2018011000290"/>
    <x v="0"/>
    <s v="C-3302-1603-2-0-3302066"/>
    <x v="4"/>
    <s v="PROGRAMAR, DISEÑAR Y OFERTAR PROGRAMAS DE EDUCACIÓN INFORMAL"/>
    <s v="NO"/>
    <n v="0"/>
    <s v="N.A"/>
    <s v="GESTIÓN CONTRACTUAL"/>
    <s v="JUAN MANUEL ESPINOSA RESTREPO"/>
    <n v="3422121"/>
    <s v="juan.espinosa@caroycuervo.gov.co"/>
    <s v="LILIANA LABRADOR"/>
    <s v="N.A"/>
    <s v="CRISTIAN VELANDIA"/>
    <s v="GERMÁN BOLAÑOS"/>
    <s v="CINDY FLORIDO"/>
    <s v="Otrosí por 4'502.171 un curso de español. Se deben verificar supervisores"/>
  </r>
  <r>
    <n v="86101710"/>
    <s v="ACADÉMICA"/>
    <s v="EQUIPO DE EDUCACIÓN CONTINUA"/>
    <s v="FORMACIÓN"/>
    <s v="EDUCACIÓN CONTINUA"/>
    <s v="DOCENTE DE DIPLOMADO ELE REMOTO+COORDINADORA DE EXTENSIÓN (DIPLOMADO ELE VIRTUAL Y DIPLOMADO ELE REMOTO) (MELE)"/>
    <n v="2"/>
    <n v="2"/>
    <n v="10"/>
    <n v="0"/>
    <s v="CONTRATACIÓN DIRECTA"/>
    <x v="0"/>
    <n v="40196775"/>
    <m/>
    <n v="40196775"/>
    <n v="4019677"/>
    <n v="2018011000290"/>
    <x v="0"/>
    <s v="C-3302-1603-2-0-3302066"/>
    <x v="4"/>
    <s v="PROGRAMAR, DISEÑAR Y OFERTAR PROGRAMAS DE EDUCACIÓN INFORMAL"/>
    <s v="NO"/>
    <n v="0"/>
    <s v="N.A"/>
    <s v="GESTIÓN CONTRACTUAL"/>
    <s v="JUAN MANUEL ESPINOSA RESTREPO"/>
    <n v="3422121"/>
    <s v="juan.espinosa@caroycuervo.gov.co"/>
    <s v="DIANA UMAÑA"/>
    <s v="N.A"/>
    <s v="CRISTIAN VELANDIA"/>
    <s v="GERMÁN BOLAÑOS"/>
    <s v="CINDY FLORIDO"/>
    <s v="N.A"/>
  </r>
  <r>
    <n v="86141501"/>
    <s v="ACADÉMICA"/>
    <s v="EQUIPO DE EDUCACIÓN CONTINUA"/>
    <s v="FORMACIÓN"/>
    <s v="EDUCACIÓN CONTINUA"/>
    <s v="COORDINACIÓN EDUCACIÓN CONTINUA TOTAL: ELE PRESENCIAL Y VIRTUAL, FSAB SUBDIRECCIÓN ACADÉMICA, CURSOS EXTENSIÓN"/>
    <n v="1"/>
    <n v="1"/>
    <n v="11"/>
    <n v="15"/>
    <s v="CONTRATACIÓN DIRECTA"/>
    <x v="0"/>
    <n v="50000000"/>
    <m/>
    <n v="50000000"/>
    <n v="4347826"/>
    <n v="2018011000290"/>
    <x v="0"/>
    <s v="C-3302-1603-2-0-3302066"/>
    <x v="4"/>
    <s v="PROGRAMAR, DISEÑAR Y OFERTAR PROGRAMAS DE EDUCACIÓN INFORMAL"/>
    <s v="NO"/>
    <n v="0"/>
    <s v="N.A"/>
    <s v="GESTIÓN CONTRACTUAL"/>
    <s v="JUAN MANUEL ESPINOSA RESTREPO"/>
    <n v="3422121"/>
    <s v="juan.espinosa@caroycuervo.gov.co"/>
    <s v="ESTEFANÍA RODRÍGUEZ"/>
    <s v="N.A"/>
    <s v="CRISTIAN VELANDIA"/>
    <s v="GERMÁN BOLAÑOS"/>
    <s v="CINDY FLORIDO"/>
    <s v="N.A"/>
  </r>
  <r>
    <n v="86101710"/>
    <s v="ACADÉMICA"/>
    <s v="EQUIPO DE EDUCACIÓN CONTINUA"/>
    <s v="FORMACIÓN"/>
    <s v="EDUCACIÓN CONTINUA"/>
    <s v="PROFESOR LATÍN Y GRIEGO 5 CURSOS AL AÑO"/>
    <n v="1"/>
    <n v="1"/>
    <n v="10"/>
    <n v="0"/>
    <s v="CONTRATACIÓN DIRECTA"/>
    <x v="0"/>
    <n v="46785690"/>
    <m/>
    <n v="46785690"/>
    <n v="4678569"/>
    <n v="2018011000290"/>
    <x v="0"/>
    <s v="C-3302-1603-2-0-3302066"/>
    <x v="4"/>
    <s v="PROGRAMAR, DISEÑAR Y OFERTAR PROGRAMAS DE EDUCACIÓN INFORMAL"/>
    <s v="NO"/>
    <n v="0"/>
    <s v="N.A"/>
    <s v="GESTIÓN CONTRACTUAL"/>
    <s v="JUAN MANUEL ESPINOSA RESTREPO"/>
    <n v="3422121"/>
    <s v="juan.espinosa@caroycuervo.gov.co"/>
    <s v="SANTIAGO MELO"/>
    <s v="N.A"/>
    <s v="CRISTIAN VELANDIA"/>
    <s v="GERMÁN BOLAÑOS"/>
    <s v="CINDY FLORIDO"/>
    <s v="VERIFICAR SUPERVISORES"/>
  </r>
  <r>
    <n v="86101600"/>
    <s v="ACADÉMICA"/>
    <s v="EQUIPO DE EDUCACIÓN CONTINUA"/>
    <s v="FORMACIÓN"/>
    <s v="EDUCACIÓN CONTINUA"/>
    <s v="PAGO 1ER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2DO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3ER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4TO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5TO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6TO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7MO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8VO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9NO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10MO TUTOR DIPLOMADO VIRTUAL ELE-2022-1: 72 HRS POR TUTOR (MELE)"/>
    <n v="4"/>
    <n v="4"/>
    <n v="4"/>
    <n v="0"/>
    <s v="CONTRATACIÓN DIRECTA"/>
    <x v="0"/>
    <n v="3240000"/>
    <m/>
    <n v="324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ROFESOR DIPLOMADO ELE REMOTO 60 HRS (POR 30 HRS EN CADA SEMESTRE) (MELE)"/>
    <n v="2"/>
    <n v="2"/>
    <n v="4"/>
    <n v="0"/>
    <s v="CONTRATACIÓN DIRECTA"/>
    <x v="0"/>
    <n v="3230760"/>
    <m/>
    <n v="3230760"/>
    <m/>
    <n v="2018011000290"/>
    <x v="0"/>
    <s v="C-3302-1603-2-0-3302066"/>
    <x v="4"/>
    <s v="PROGRAMAR, DISEÑAR Y OFERTAR PROGRAMAS DE EDUCACIÓN INFORMAL"/>
    <s v="NO"/>
    <n v="0"/>
    <s v="N.A"/>
    <s v="GESTIÓN CONTRACTUAL"/>
    <s v="JUAN MANUEL ESPINOSA RESTREPO"/>
    <n v="3422121"/>
    <s v="juan.espinosa@caroycuervo.gov.co"/>
    <s v="YEHICY ORDUZ"/>
    <s v="N.A"/>
    <m/>
    <m/>
    <m/>
    <s v="N.A"/>
  </r>
  <r>
    <n v="86101601"/>
    <s v="ACADÉMICA"/>
    <s v="EQUIPO DE EDUCACIÓN CONTINUA"/>
    <s v="FORMACIÓN"/>
    <s v="EDUCACIÓN CONTINUA"/>
    <s v="PROFESOR DIPLOMADO ELE REMOTO 60 HRS (POR 30 HRS EN CADA SEMESTRE) (MELE)"/>
    <n v="2"/>
    <n v="2"/>
    <n v="4"/>
    <n v="0"/>
    <s v="CONTRATACIÓN DIRECTA"/>
    <x v="0"/>
    <n v="6461520"/>
    <m/>
    <n v="6461520"/>
    <m/>
    <n v="2018011000290"/>
    <x v="0"/>
    <s v="C-3302-1603-2-0-3302066"/>
    <x v="4"/>
    <s v="PROGRAMAR, DISEÑAR Y OFERTAR PROGRAMAS DE EDUCACIÓN INFORMAL"/>
    <s v="NO"/>
    <n v="0"/>
    <s v="N.A"/>
    <s v="GESTIÓN CONTRACTUAL"/>
    <s v="JUAN MANUEL ESPINOSA RESTREPO"/>
    <n v="3422121"/>
    <s v="juan.espinosa@caroycuervo.gov.co"/>
    <s v="RUTH RUBIO"/>
    <s v="N.A"/>
    <m/>
    <m/>
    <m/>
    <s v="N.A"/>
  </r>
  <r>
    <n v="86101600"/>
    <s v="ACADÉMICA"/>
    <s v="EQUIPO DE EDUCACIÓN CONTINUA"/>
    <s v="FORMACIÓN"/>
    <s v="EDUCACIÓN CONTINUA"/>
    <s v="PAGO 1ER TUTOR DIPLOMADO VIRTUAL ESCRITURA PARA SORDOS ELE-2022-1 - 30 HRS (MELE)"/>
    <n v="1"/>
    <n v="8"/>
    <n v="4"/>
    <n v="0"/>
    <s v="CONTRATACIÓN DIRECTA"/>
    <x v="0"/>
    <n v="1350000"/>
    <m/>
    <n v="135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2DO TUTOR DIPLOMADO VIRTUAL ESCRITURA PARA SORDOS ELE-2022-1 - 36 HRS (MELE)"/>
    <n v="1"/>
    <n v="8"/>
    <n v="4"/>
    <n v="0"/>
    <s v="CONTRATACIÓN DIRECTA"/>
    <x v="0"/>
    <n v="1620000"/>
    <m/>
    <n v="1620000"/>
    <m/>
    <n v="2018011000290"/>
    <x v="0"/>
    <s v="C-3302-1603-2-0-3302066"/>
    <x v="4"/>
    <s v="PROGRAMAR, DISEÑAR Y OFERTAR PROGRAMAS DE EDUCACIÓN INFORMAL"/>
    <s v="NO"/>
    <n v="0"/>
    <s v="N.A"/>
    <s v="GESTIÓN CONTRACTUAL"/>
    <s v="JUAN MANUEL ESPINOSA RESTREPO"/>
    <n v="3422121"/>
    <s v="juan.espinosa@caroycuervo.gov.co"/>
    <s v="TUTOR"/>
    <s v="N.A"/>
    <m/>
    <m/>
    <m/>
    <s v="N.A"/>
  </r>
  <r>
    <n v="86101600"/>
    <s v="ACADÉMICA"/>
    <s v="EQUIPO DE EDUCACIÓN CONTINUA"/>
    <s v="FORMACIÓN"/>
    <s v="EDUCACIÓN CONTINUA"/>
    <s v="PAGO 2DO TUTOR DIPLOMADO VIRTUAL ESCRITURA PARA SORDOS ELE-2022-1 - 36 HRS (MELE)"/>
    <n v="1"/>
    <n v="8"/>
    <n v="4"/>
    <n v="0"/>
    <s v="CONTRATACIÓN DIRECTA"/>
    <x v="0"/>
    <n v="2240723"/>
    <m/>
    <n v="2240723"/>
    <m/>
    <n v="2018011000290"/>
    <x v="0"/>
    <s v="C-3302-1603-2-0-3302066"/>
    <x v="4"/>
    <s v="PROGRAMAR, DISEÑAR Y OFERTAR PROGRAMAS DE EDUCACIÓN INFORMAL"/>
    <s v="NO"/>
    <n v="0"/>
    <s v="N.A"/>
    <s v="GESTIÓN CONTRACTUAL"/>
    <s v="JUAN MANUEL ESPINOSA RESTREPO"/>
    <n v="3422121"/>
    <s v="juan.espinosa@caroycuervo.gov.co"/>
    <s v="TUTOR"/>
    <s v="N.A"/>
    <m/>
    <m/>
    <m/>
    <m/>
  </r>
  <r>
    <s v="55101500; 55101524"/>
    <s v="ACADÉMICA"/>
    <s v="GRUPO DE BIBLIOTECA"/>
    <s v="INVESTIGACIÓN"/>
    <s v="DESARROLLO DE COLECCIONES"/>
    <s v="ADQUISICIÓN DE LIBROS"/>
    <n v="4"/>
    <n v="3"/>
    <n v="3"/>
    <n v="25"/>
    <s v="SELECCIÓN ABREVIADA MENOR CUANTÍA"/>
    <x v="0"/>
    <n v="25693446"/>
    <m/>
    <n v="25693446"/>
    <m/>
    <n v="2018011000290"/>
    <x v="0"/>
    <s v="C-3302-1603-2-0-3302070"/>
    <x v="1"/>
    <s v="REALIZAR ACTIVIDADES DE CONSOLIDACIÓN ACADÉMICA"/>
    <s v="NO"/>
    <n v="0"/>
    <s v="N.A"/>
    <s v="GESTIÓN CONTRACTUAL"/>
    <s v="LUZ CLEMENCIA MEJÍA MUÑOZ"/>
    <n v="3422121"/>
    <s v="juan.espinosa@caroycuervo.gov.co"/>
    <s v="N.A"/>
    <s v="N.A"/>
    <m/>
    <m/>
    <m/>
    <m/>
  </r>
  <r>
    <s v="55101500; 55101525"/>
    <s v="ACADÉMICA"/>
    <s v="GRUPO DE BIBLIOTECA"/>
    <s v="INVESTIGACIÓN"/>
    <s v="DESARROLLO DE COLECCIONES"/>
    <s v="ADQUISICIÓN DE LIBROS"/>
    <n v="4"/>
    <n v="3"/>
    <n v="3"/>
    <n v="25"/>
    <s v="SELECCIÓN ABREVIADA MENOR CUANTÍA"/>
    <x v="0"/>
    <n v="4306554"/>
    <m/>
    <n v="4306554"/>
    <m/>
    <n v="2018011000319"/>
    <x v="1"/>
    <s v="C-3301-1603-2-0-3301085"/>
    <x v="3"/>
    <s v="ADQUIRIR LAS HERRAMIENTAS TECNOLÓGICAS PARA GARANTIZAR EL FUNCIONAMIENTO DE LA BIBLIOTECA"/>
    <s v="NO"/>
    <n v="0"/>
    <s v="N.A"/>
    <s v="GESTIÓN CONTRACTUAL"/>
    <s v="LUZ CLEMENCIA MEJÍA MUÑOZ"/>
    <n v="3422121"/>
    <s v="biblioteca@caroycuervo.gov.co "/>
    <s v="N.A"/>
    <s v="N.A"/>
    <m/>
    <m/>
    <m/>
    <m/>
  </r>
  <r>
    <s v="55101500; 55101524"/>
    <s v="ACADÉMICA"/>
    <s v="GRUPO DE BIBLIOTECA"/>
    <s v="INVESTIGACIÓN"/>
    <s v="DESARROLLO DE COLECCIONES"/>
    <s v="SUSCRIPCIÓN REVISTAS - RENOVACIÓN POR 1 AÑO DE LOS  TÍTULOS DE REVISTAS  ACADÉMICAS EN LAS ARES DE LINGÜÍSTICA,  LITERATURA Y ESTUDIOS EDITORIALES"/>
    <n v="1"/>
    <n v="1"/>
    <n v="11"/>
    <n v="25"/>
    <s v="MINIMA CUANTÍA"/>
    <x v="1"/>
    <n v="26365813"/>
    <m/>
    <n v="26365813"/>
    <m/>
    <n v="2018011000319"/>
    <x v="1"/>
    <s v="C-3301-1603-2-0-3301085"/>
    <x v="3"/>
    <s v="ADQUIRIR LAS HERRAMIENTAS TECNOLÓGICAS PARA GARANTIZAR EL FUNCIONAMIENTO DE LA BIBLIOTECA"/>
    <s v="NO"/>
    <n v="0"/>
    <s v="N.A"/>
    <s v="GESTIÓN CONTRACTUAL"/>
    <s v="LUZ CLEMENCIA MEJÍA MUÑOZ"/>
    <n v="3422121"/>
    <s v="biblioteca@caroycuervo.gov.co "/>
    <s v="N.A"/>
    <s v="N.A"/>
    <m/>
    <m/>
    <m/>
    <m/>
  </r>
  <r>
    <s v="55101500; 55101524"/>
    <s v="ACADÉMICA"/>
    <s v="GRUPO DE BIBLIOTECA"/>
    <s v="INVESTIGACIÓN"/>
    <s v="DESARROLLO DE COLECCIONES"/>
    <s v="SUSCRIPCIÓN REVISTAS - RENOVACIÓN POR 1 AÑO DE LOS  TÍTULOS DE REVISTAS  ACADÉMICAS EN LAS ARES DE LINGÜÍSTICA,  LITERATURA Y ESTUDIOS EDITORIALES"/>
    <n v="1"/>
    <n v="1"/>
    <n v="11"/>
    <n v="25"/>
    <s v="MINIMA CUANTÍA"/>
    <x v="0"/>
    <n v="634187"/>
    <m/>
    <n v="634187"/>
    <m/>
    <n v="2018011000319"/>
    <x v="1"/>
    <s v="C-3301-1603-2-0-3301085"/>
    <x v="3"/>
    <s v="ADQUIRIR LAS HERRAMIENTAS TECNOLÓGICAS PARA GARANTIZAR EL FUNCIONAMIENTO DE LA BIBLIOTECA"/>
    <s v="NO"/>
    <n v="0"/>
    <s v="N.A"/>
    <s v="GESTIÓN CONTRACTUAL"/>
    <s v="LUZ CLEMENCIA MEJÍA MUÑOZ"/>
    <n v="3422121"/>
    <s v="biblioteca@caroycuervo.gov.co "/>
    <s v="N.A"/>
    <s v="N.A"/>
    <m/>
    <m/>
    <m/>
    <m/>
  </r>
  <r>
    <n v="81111902"/>
    <s v="ACADÉMICA"/>
    <s v="GRUPO DE BIBLIOTECA"/>
    <s v="INVESTIGACIÓN"/>
    <s v="DESARROLLO DE COLECCIONES"/>
    <s v="SUSCRIPCIÓN BASES DE DATOS - RENOVACIÓN BASE DE DATOS PROQUEST MÓDULOS DE LINGUSTICA Y LITERATURA"/>
    <n v="1"/>
    <n v="1"/>
    <n v="1"/>
    <m/>
    <s v="CONTRATACIÓN DIRECTA"/>
    <x v="0"/>
    <n v="34260574"/>
    <m/>
    <n v="34260574"/>
    <m/>
    <n v="2018011000319"/>
    <x v="1"/>
    <s v="C-3301-1603-2-0-3301085"/>
    <x v="3"/>
    <s v="ADQUIRIR LAS HERRAMIENTAS TECNOLÓGICAS PARA GARANTIZAR EL FUNCIONAMIENTO DE LA BIBLIOTECA"/>
    <s v="NO"/>
    <n v="0"/>
    <s v="N.A"/>
    <s v="GESTIÓN CONTRACTUAL"/>
    <s v="LUZ CLEMENCIA MEJÍA MUÑOZ"/>
    <n v="3422121"/>
    <s v="biblioteca@caroycuervo.gov.co "/>
    <s v="N.A"/>
    <s v="N.A"/>
    <s v="DIANA RAMÍREZ"/>
    <s v="DANIELA LEÓN"/>
    <s v="CINDY FLORIDO"/>
    <m/>
  </r>
  <r>
    <n v="81111902"/>
    <s v="ACADÉMICA"/>
    <s v="GRUPO DE BIBLIOTECA"/>
    <s v="INVESTIGACIÓN"/>
    <s v="DESARROLLO DE COLECCIONES"/>
    <s v="RENOVACIÓN BASE DE DATOS - DIALNET PLUS"/>
    <n v="8"/>
    <n v="8"/>
    <n v="11"/>
    <n v="25"/>
    <s v="CONTRATACIÓN DIRECTA"/>
    <x v="1"/>
    <n v="14619696"/>
    <m/>
    <n v="14619696"/>
    <m/>
    <n v="2018011000319"/>
    <x v="1"/>
    <s v="C-3301-1603-2-0-3301085"/>
    <x v="3"/>
    <s v="ADQUIRIR LAS HERRAMIENTAS TECNOLÓGICAS PARA GARANTIZAR EL FUNCIONAMIENTO DE LA BIBLIOTECA"/>
    <s v="NO"/>
    <n v="0"/>
    <s v="N.A"/>
    <s v="GESTIÓN CONTRACTUAL"/>
    <s v="LUZ CLEMENCIA MEJÍA MUÑOZ"/>
    <n v="3422121"/>
    <s v="biblioteca@caroycuervo.gov.co "/>
    <s v="N.A"/>
    <s v="N.A"/>
    <m/>
    <m/>
    <m/>
    <m/>
  </r>
  <r>
    <n v="81111902"/>
    <s v="ACADÉMICA"/>
    <s v="GRUPO DE BIBLIOTECA"/>
    <s v="INVESTIGACIÓN"/>
    <s v="DESARROLLO DE COLECCIONES"/>
    <s v="SUSCRIPCIÓN BASES DE DATOS - RENOVACIÓN BASE DE DATOS MLA CON TEXTO COMPLETO"/>
    <n v="3"/>
    <n v="3"/>
    <n v="11"/>
    <n v="25"/>
    <s v="CONTRATACIÓN DIRECTA"/>
    <x v="1"/>
    <n v="15380304"/>
    <m/>
    <n v="15380304"/>
    <m/>
    <n v="2018011000319"/>
    <x v="1"/>
    <s v="C-3301-1603-2-0-3301085"/>
    <x v="3"/>
    <s v="ADQUIRIR LAS HERRAMIENTAS TECNOLÓGICAS PARA GARANTIZAR EL FUNCIONAMIENTO DE LA BIBLIOTECA"/>
    <s v="NO"/>
    <n v="0"/>
    <s v="N.A"/>
    <s v="GESTIÓN CONTRACTUAL"/>
    <s v="LUZ CLEMENCIA MEJÍA MUÑOZ"/>
    <n v="3422121"/>
    <s v="biblioteca@caroycuervo.gov.co "/>
    <s v="N.A"/>
    <s v="N.A"/>
    <m/>
    <m/>
    <m/>
    <m/>
  </r>
  <r>
    <n v="81111902"/>
    <s v="ACADÉMICA"/>
    <s v="GRUPO DE BIBLIOTECA"/>
    <s v="INVESTIGACIÓN"/>
    <s v="DESARROLLO DE COLECCIONES"/>
    <s v="SUSCRIPCIÓN BASES DE DATOS - RENOVACIÓN BASE DE DATOS MLA CON TEXTO COMPLETO"/>
    <m/>
    <m/>
    <n v="0"/>
    <m/>
    <s v="CONTRATACIÓN DIRECTA"/>
    <x v="0"/>
    <n v="3923956"/>
    <m/>
    <n v="3923956"/>
    <m/>
    <n v="2018011000319"/>
    <x v="1"/>
    <s v="C-3301-1603-2-0-3301085"/>
    <x v="3"/>
    <s v="ADQUIRIR LAS HERRAMIENTAS TECNOLÓGICAS PARA GARANTIZAR EL FUNCIONAMIENTO DE LA BIBLIOTECA"/>
    <s v="NO"/>
    <n v="0"/>
    <s v="N.A"/>
    <s v="GESTIÓN CONTRACTUAL"/>
    <s v="LUZ CLEMENCIA MEJÍA MUÑOZ"/>
    <n v="3422121"/>
    <s v="biblioteca@caroycuervo.gov.co "/>
    <s v="N.A"/>
    <s v="N.A"/>
    <m/>
    <m/>
    <m/>
    <m/>
  </r>
  <r>
    <n v="81111902"/>
    <s v="ACADÉMICA"/>
    <s v="GRUPO DE BIBLIOTECA"/>
    <s v="INVESTIGACIÓN"/>
    <s v="PROCESAMIENTO TÉCNICO DEL MATERIAL BIBLIOGRÁFICO"/>
    <s v="RENOVACIÓN DE LA HERRAMIENTA BIBLIOTECARIA ARMARC Y TOOL KIT RDA PARA LA ASIGNACIÓN DE LOS DESCRIPTORES  Y CATALOGACIÓN DEL  MATERIAL BIBLIOGRAFICO RECIBIDO EN LA BIBLIOTECA."/>
    <n v="9"/>
    <n v="9"/>
    <n v="11"/>
    <n v="25"/>
    <s v="CONTRATACIÓN DIRECTA"/>
    <x v="0"/>
    <n v="2429400"/>
    <m/>
    <n v="2429400"/>
    <m/>
    <n v="2018011000319"/>
    <x v="1"/>
    <s v="C-3301-1603-2-0-3301085"/>
    <x v="3"/>
    <s v="ADQUIRIR LAS HERRAMIENTAS TECNOLÓGICAS PARA GARANTIZAR EL FUNCIONAMIENTO DE LA BIBLIOTECA"/>
    <s v="NO"/>
    <n v="0"/>
    <s v="N.A"/>
    <s v="GESTIÓN CONTRACTUAL"/>
    <s v="LUZ CLEMENCIA MEJÍA MUÑOZ"/>
    <n v="3422121"/>
    <s v="biblioteca@caroycuervo.gov.co "/>
    <s v="N.A"/>
    <s v="N.A"/>
    <m/>
    <m/>
    <m/>
    <m/>
  </r>
  <r>
    <s v="43233203; 43232305; 43232309"/>
    <s v="ACADÉMICA"/>
    <s v="GRUPO DE BIBLIOTECA"/>
    <s v="INVESTIGACIÓN"/>
    <s v="SISTEMATIZACIÓN DE LA BIBLIOTECA"/>
    <s v="RENOVACIÓN DE LA LICENCIA DEL PROGRAMA EZ-PROXY PARA LA CONSULTA REMOTA DE LOS RECURSOS ELECTRÓNICOS  Y  LOOKPROXY PARA GENERACIÓN DE LAS ESTADÍSTICA DE USO DE LOS RECURSOS ELECTRÓNICOS"/>
    <n v="9"/>
    <n v="9"/>
    <n v="11"/>
    <n v="25"/>
    <s v="CONTRATACIÓN DIRECTA"/>
    <x v="0"/>
    <n v="13500000"/>
    <m/>
    <n v="13500000"/>
    <m/>
    <n v="2018011000319"/>
    <x v="1"/>
    <s v="C-3301-1603-2-0-3301085"/>
    <x v="3"/>
    <s v="ADQUIRIR LAS HERRAMIENTAS TECNOLÓGICAS PARA GARANTIZAR EL FUNCIONAMIENTO DE LA BIBLIOTECA"/>
    <s v="NO"/>
    <n v="0"/>
    <s v="N.A"/>
    <s v="GESTIÓN CONTRACTUAL"/>
    <s v="LUZ CLEMENCIA MEJÍA MUÑOZ"/>
    <n v="3422121"/>
    <s v="biblioteca@caroycuervo.gov.co "/>
    <s v="N.A"/>
    <s v="N.A"/>
    <m/>
    <m/>
    <m/>
    <m/>
  </r>
  <r>
    <n v="82121500"/>
    <s v="ACADÉMICA"/>
    <s v="EQUIPO DE COMUNICACIONES Y PRENSA"/>
    <s v="INFORMACIÓN Y COMUNICACIÓN"/>
    <s v="COMUNICACIONES Y PRENSA "/>
    <s v="IMPRESIÓN DE MATERIAL DE DIVULGACIÓN PARA APOYO A LOS PROGRAMAS Y PROYECTOS DE LA SUBDIRECCIÓN ACADÉMICA "/>
    <n v="2"/>
    <n v="2"/>
    <n v="10"/>
    <n v="0"/>
    <s v="MINIMA CUANTÍA"/>
    <x v="1"/>
    <n v="2500000"/>
    <m/>
    <n v="2500000"/>
    <m/>
    <n v="2018011000290"/>
    <x v="0"/>
    <s v="C-3302-1603-2-0-3302070"/>
    <x v="1"/>
    <s v="REALIZAR ACTIVIDADES DE CONSOLIDACIÓN ACADÉMICA"/>
    <s v="NO"/>
    <n v="0"/>
    <s v="N.A"/>
    <s v="GESTIÓN CONTRACTUAL"/>
    <s v="JUAN MANUEL ESPINOSA RESTREPO"/>
    <n v="3422121"/>
    <s v="juan.espinosa@caroycuervo.gov.co"/>
    <s v="N.A"/>
    <s v="N.A"/>
    <m/>
    <m/>
    <m/>
    <m/>
  </r>
  <r>
    <n v="82121500"/>
    <s v="ACADÉMICA"/>
    <s v="EQUIPO DE COMUNICACIONES Y PRENSA"/>
    <s v="INFORMACIÓN Y COMUNICACIÓN"/>
    <s v="COMUNICACIONES Y PRENSA "/>
    <s v="SERVICIO DE CORREOS PARA EL MANEJO DE LAS BASES DE DATOS DE BOLETÍN Y EVENTOS DEL ICC"/>
    <n v="1"/>
    <n v="1"/>
    <n v="11"/>
    <n v="0"/>
    <s v="MINIMA CUANTÍA"/>
    <x v="1"/>
    <n v="2800000"/>
    <m/>
    <n v="2800000"/>
    <m/>
    <n v="2018011000290"/>
    <x v="0"/>
    <s v="C-3302-1603-2-0-3302070"/>
    <x v="1"/>
    <s v="REALIZAR ACTIVIDADES DE CONSOLIDACIÓN ACADÉMICA"/>
    <s v="NO"/>
    <n v="0"/>
    <s v="N.A"/>
    <s v="GESTIÓN CONTRACTUAL"/>
    <s v="JUAN MANUEL ESPINOSA RESTREPO"/>
    <n v="3422121"/>
    <s v="juan.espinosa@caroycuervo.gov.co"/>
    <s v="N.A"/>
    <s v="N.A"/>
    <m/>
    <m/>
    <m/>
    <m/>
  </r>
  <r>
    <n v="78141500"/>
    <s v="ACADÉMICA"/>
    <s v="EQUIPO DE COMUNICACIONES Y PRENSA"/>
    <s v="INFORMACIÓN Y COMUNICACIÓN"/>
    <s v="COMUNICACIONES Y PRENSA "/>
    <s v="GASTOS DE VIAJE PARTICIPACIÓN HAY FESTVAL 2022"/>
    <n v="1"/>
    <n v="1"/>
    <n v="1"/>
    <n v="0"/>
    <s v="CONTRATACIÓN DIRECTA"/>
    <x v="1"/>
    <n v="500000"/>
    <m/>
    <n v="500000"/>
    <m/>
    <n v="2018011000290"/>
    <x v="0"/>
    <s v="C-3302-1603-2-0-3302070"/>
    <x v="1"/>
    <s v="REALIZAR ACTIVIDADES DE CONSOLIDACIÓN ACADÉMICA"/>
    <s v="NO"/>
    <n v="0"/>
    <s v="N.A"/>
    <s v="GESTIÓN CONTRACTUAL"/>
    <s v="JUAN MANUEL ESPINOSA RESTREPO"/>
    <n v="3422121"/>
    <s v="juan.espinosa@caroycuervo.gov.co"/>
    <s v="N.A"/>
    <s v="N.A"/>
    <m/>
    <m/>
    <m/>
    <m/>
  </r>
  <r>
    <n v="81101707"/>
    <s v="ACADÉMICA"/>
    <s v="GRUPO DE PROCESOS EDITORIALES"/>
    <s v="APROPIACIÓN SOCIAL DEL CONOCIMIENTO"/>
    <s v="SELLO EDITORIAL E IMPRENTA PATRIÓTICA"/>
    <s v="MANTENIMIENTO CORRECTIVO DE IMPRESORA SAKURAI DE DOS TORRES, 1/2 PLIEGO"/>
    <n v="3"/>
    <n v="3"/>
    <n v="2"/>
    <n v="15"/>
    <s v="MINIMA CUANTÍA"/>
    <x v="0"/>
    <n v="22000000"/>
    <m/>
    <n v="22000000"/>
    <m/>
    <n v="2018011000290"/>
    <x v="0"/>
    <s v="C-3302-1603-2-0-3302070"/>
    <x v="1"/>
    <s v="REALIZAR ACTIVIDADES DE CONSOLIDACIÓN ACADÉMICA"/>
    <s v="NO"/>
    <n v="0"/>
    <s v="N.A"/>
    <s v="GESTIÓN CONTRACTUAL"/>
    <s v="CESAR BUITRAGO"/>
    <n v="3422121"/>
    <s v="cesar.buitrago@caroycuervo.gov.co "/>
    <s v="N.A"/>
    <s v="N.A"/>
    <m/>
    <m/>
    <m/>
    <m/>
  </r>
  <r>
    <n v="80131505"/>
    <s v="ACADÉMICA"/>
    <s v="GRUPO DE PROCESOS EDITORIALES"/>
    <s v="APROPIACIÓN SOCIAL DEL CONOCIMIENTO"/>
    <s v="EDITORIAL"/>
    <s v="ARRENDAMIENTO DE ESPACIO PARA LA FERIA INTERNACIONAL DEL LIBRO DE BOGOTÁ"/>
    <n v="3"/>
    <n v="3"/>
    <n v="1"/>
    <n v="0"/>
    <s v="CONTRATACIÓN DIRECTA"/>
    <x v="0"/>
    <n v="18000000"/>
    <m/>
    <n v="18000000"/>
    <m/>
    <n v="2018011000290"/>
    <x v="0"/>
    <s v="C-3302-1603-2-0-3302070"/>
    <x v="1"/>
    <s v="REALIZAR ACTIVIDADES DE CONSOLIDACIÓN ACADÉMICA"/>
    <s v="NO"/>
    <n v="0"/>
    <s v="N.A"/>
    <s v="GESTIÓN CONTRACTUAL"/>
    <s v="CESAR BUITRAGO"/>
    <n v="3422121"/>
    <s v="cesar.buitrago@caroycuervo.gov.co "/>
    <s v="N.A"/>
    <s v="N.A"/>
    <s v="DIANA RAMÍREZ"/>
    <s v="DANIELA LEÓN"/>
    <s v="MARCELA GUALTEROS"/>
    <m/>
  </r>
  <r>
    <n v="82111800"/>
    <s v="ACADÉMICA"/>
    <s v="GRUPO DE PROCESOS EDITORIALES"/>
    <s v="APROPIACIÓN SOCIAL DEL CONOCIMIENTO"/>
    <s v="EDITORIAL"/>
    <s v="PAGO EVALUACIÓN DE MANUSCRITOS"/>
    <n v="3"/>
    <n v="3"/>
    <n v="8"/>
    <n v="0"/>
    <s v="CONTRATACIÓN DIRECTA"/>
    <x v="1"/>
    <n v="1500000"/>
    <m/>
    <n v="1500000"/>
    <m/>
    <n v="2018011000290"/>
    <x v="0"/>
    <s v="C-3302-1603-2-0-3302070"/>
    <x v="1"/>
    <s v="REALIZAR ACTIVIDADES DE CONSOLIDACIÓN ACADÉMICA"/>
    <s v="NO"/>
    <n v="0"/>
    <s v="N.A"/>
    <s v="GESTIÓN CONTRACTUAL"/>
    <s v="JUAN MANUEL ESPINOSA RESTREPO"/>
    <n v="3422121"/>
    <s v="cesar.buitrago@caroycuervo.gov.co "/>
    <s v="N.A"/>
    <s v="N.A"/>
    <m/>
    <m/>
    <m/>
    <m/>
  </r>
  <r>
    <s v="82111800; 82121502"/>
    <s v="ACADÉMICA"/>
    <s v="GRUPO DE PROCESOS EDITORIALES"/>
    <s v="APROPIACIÓN SOCIAL DEL CONOCIMIENTO"/>
    <s v="EDITORIAL"/>
    <s v="CONTRATO AUXILIAR LINOTIPISTA JUNIOR PARA PROYECTOS EDITORIALES"/>
    <n v="1"/>
    <n v="1"/>
    <n v="3"/>
    <n v="0"/>
    <s v="CONTRATACIÓN DIRECTA"/>
    <x v="0"/>
    <n v="6600000"/>
    <m/>
    <n v="6600000"/>
    <m/>
    <n v="2018011000290"/>
    <x v="0"/>
    <s v="C-3302-1603-2-0-3302070"/>
    <x v="1"/>
    <s v="REALIZAR ACTIVIDADES DE CONSOLIDACIÓN ACADÉMICA"/>
    <s v="NO"/>
    <n v="0"/>
    <s v="N.A"/>
    <s v="GESTIÓN CONTRACTUAL"/>
    <s v="CESAR BUITRAGO"/>
    <n v="3422121"/>
    <s v="cesar.buitrago@caroycuervo.gov.co "/>
    <s v="ISABELA VICUÑA"/>
    <m/>
    <s v="CRISTIAN VELANDIA"/>
    <m/>
    <m/>
    <m/>
  </r>
  <r>
    <n v="93141708"/>
    <s v="ACADÉMICA"/>
    <s v="EQUIPO DE GESTIÓN DE MUSEOS"/>
    <s v="APROPIACIÓN SOCIAL DEL CONOCIMIENTO"/>
    <s v="GESTIÓN DE MUSEOS"/>
    <s v="CONSERVACIÓN PREVENTIVA ESCULTURAS"/>
    <n v="4"/>
    <n v="4"/>
    <n v="1"/>
    <n v="0"/>
    <s v="CONTRATACIÓN DIRECTA"/>
    <x v="1"/>
    <n v="3693867"/>
    <m/>
    <n v="3693867"/>
    <m/>
    <n v="2018011000284"/>
    <x v="2"/>
    <s v="C-3399-1603-4-0-3399016"/>
    <x v="5"/>
    <s v=" REALIZAR MANTENIMIENTO A ELEMENTOS NO ESTRUCTURALES DE LAS SEDES "/>
    <s v="NO"/>
    <n v="0"/>
    <s v="N.A"/>
    <s v="GESTIÓN CONTRACTUAL"/>
    <s v="JUAN MANUEL ESPINOSA RESTREPO"/>
    <n v="3422121"/>
    <s v="juan.espinosa@caroycuervo.gov.co"/>
    <m/>
    <s v="N.A"/>
    <m/>
    <m/>
    <m/>
    <s v="Contratación directa servicios profesionales de una restauradora de bienes muebles, que esperamos se pueda alimentar con los 70 millones adicionales del MinCultura y desarrollar el proyecto general de conservación preventiva de las esculturas en Yerbabuenan (fase I). De no ser posible, este dinero se concentra en los traslados de las dos obras solicitadas en calidad de comodato al IDPC y al Museo de Bogotá. Si llega la plata de Mincultura pasaríamos de 1 a 6 meses en la ejecución."/>
  </r>
  <r>
    <n v="93141708"/>
    <s v="ACADÉMICA"/>
    <s v="EQUIPO DE GESTIÓN DE MUSEOS"/>
    <s v="APROPIACIÓN SOCIAL DEL CONOCIMIENTO"/>
    <s v="GESTIÓN DE MUSEOS"/>
    <s v="HERRAMIENTAS DIGITALES "/>
    <n v="9"/>
    <n v="9"/>
    <n v="1"/>
    <n v="0"/>
    <s v="CONTRATACIÓN DIRECTA"/>
    <x v="1"/>
    <n v="1290040"/>
    <m/>
    <n v="1290040"/>
    <m/>
    <n v="2018011000290"/>
    <x v="0"/>
    <s v="C-3302-1603-2-0-3302004"/>
    <x v="6"/>
    <s v="DISEÑAR, PREPARAR Y REALIZAR EXPOSICIONES EN SALAS MUSEALES"/>
    <s v="NO"/>
    <n v="0"/>
    <s v="N.A"/>
    <s v="GESTIÓN CONTRACTUAL"/>
    <s v="JUAN MANUEL ESPINOSA RESTREPO"/>
    <n v="3422121"/>
    <s v="juan.espinosa@caroycuervo.gov.co"/>
    <m/>
    <s v="CONVENIO"/>
    <m/>
    <m/>
    <m/>
    <s v="CONVENIO"/>
  </r>
  <r>
    <n v="86101600"/>
    <s v="ACADÉMICA"/>
    <s v="EQUIPO DE GESTIÓN DE MUSEOS"/>
    <s v="APROPIACIÓN SOCIAL DEL CONOCIMIENTO"/>
    <s v="GESTIÓN DE MUSEOS"/>
    <s v="IMPRESOS, MATERIAL PEDAGÓGICO, MONTAJES, FOTOGRAFÍAS, ENTRE OTROS"/>
    <n v="7"/>
    <n v="7"/>
    <n v="3"/>
    <n v="0"/>
    <s v="CONTRATACIÓN DIRECTA"/>
    <x v="0"/>
    <n v="2993982"/>
    <m/>
    <n v="2993982"/>
    <m/>
    <n v="2018011000290"/>
    <x v="0"/>
    <s v="C-3302-1603-2-0-3302070"/>
    <x v="1"/>
    <s v="REALIZAR ACTIVIDADES DE CONSOLIDACIÓN ACADÉMICA"/>
    <s v="NO"/>
    <n v="0"/>
    <s v="N.A"/>
    <s v="GESTIÓN CONTRACTUAL"/>
    <s v="JUAN MANUEL ESPINOSA RESTREPO "/>
    <n v="3422121"/>
    <s v="juan.espinosa@caroycuervo.gov.co"/>
    <m/>
    <s v="CONVENIO"/>
    <m/>
    <m/>
    <m/>
    <s v="SE AJUSTA ESTA NECESIDAD ABRIENDO EN DOS RUBROS PARA APORTAR EL AJUSTE AL FALTANTE DE COMUNICACIONES"/>
  </r>
  <r>
    <n v="86101600"/>
    <s v="ACADÉMICA"/>
    <s v="EQUIPO DE GESTIÓN DE MUSEOS"/>
    <s v="APROPIACIÓN SOCIAL DEL CONOCIMIENTO"/>
    <s v="GESTIÓN DE MUSEOS"/>
    <s v="IMPRESOS, MATERIAL PEDAGÓGICO, MONTAJES, FOTOGRAFÍAS, ENTRE OTROS"/>
    <n v="7"/>
    <n v="7"/>
    <n v="3"/>
    <n v="0"/>
    <s v="CONTRATACIÓN DIRECTA"/>
    <x v="0"/>
    <n v="3006018"/>
    <m/>
    <n v="3006018"/>
    <m/>
    <n v="2018011000290"/>
    <x v="0"/>
    <s v="C-3302-1603-2-0-3302070"/>
    <x v="6"/>
    <s v="DISEÑAR, PREPARAR Y REALIZAR EXPOSICIONES EN SALAS MUSEALES"/>
    <s v="NO"/>
    <n v="0"/>
    <s v="N.A"/>
    <s v="GESTIÓN CONTRACTUAL"/>
    <s v="JUAN MANUEL ESPINOSA RESTREPO "/>
    <n v="3422121"/>
    <s v="juan.espinosa@caroycuervo.gov.co"/>
    <m/>
    <s v="CONVENIO"/>
    <m/>
    <m/>
    <m/>
    <s v="SE AJUSTA ESTA NECESIDAD ABRIENDO EN DOS RUBROS PARA APORTAR EL AJUSTE AL FALTANTE DE COMUNICACIONES"/>
  </r>
  <r>
    <n v="93141708"/>
    <s v="ACADÉMICA"/>
    <s v="EQUIPO DE GESTIÓN DE MUSEOS"/>
    <s v="APROPIACIÓN SOCIAL DEL CONOCIMIENTO"/>
    <s v="GESTIÓN DE MUSEOS"/>
    <s v="TRANSPORTES ESPECIALES OBRAS DE GRAN FORMATO PARA LA EXPOSICION DE VUELTA A CASA"/>
    <n v="3"/>
    <n v="3"/>
    <n v="6"/>
    <n v="0"/>
    <s v="CONTRATACIÓN DIRECTA"/>
    <x v="0"/>
    <n v="5600000"/>
    <m/>
    <n v="5600000"/>
    <m/>
    <n v="2018011000284"/>
    <x v="2"/>
    <s v="C-3399-1603-4-0-3399016"/>
    <x v="5"/>
    <s v=" REALIZAR MANTENIMIENTO A ELEMENTOS NO ESTRUCTURALES DE LAS SEDES "/>
    <s v="NO"/>
    <n v="0"/>
    <s v="N.A"/>
    <s v="GESTIÓN CONTRACTUAL"/>
    <s v="JUAN MANUEL ESPINOSA RESTREPO "/>
    <n v="3422121"/>
    <s v="juan.espinosa@caroycuervo.gov.co"/>
    <m/>
    <s v="N.A"/>
    <m/>
    <m/>
    <m/>
    <s v="CONVENIO"/>
  </r>
  <r>
    <n v="93141708"/>
    <s v="ACADÉMICA"/>
    <s v="EQUIPO DE GESTIÓN DE MUSEOS"/>
    <s v="APROPIACIÓN SOCIAL DEL CONOCIMIENTO"/>
    <s v="GESTIÓN DE MUSEOS"/>
    <s v="PRODUCCION MUSEOGRAFICA 1 EXPOSICIÓN "/>
    <n v="1"/>
    <n v="1"/>
    <n v="2"/>
    <n v="0"/>
    <s v="CONTRATACIÓN DIRECTA"/>
    <x v="0"/>
    <n v="20000000"/>
    <m/>
    <n v="20000000"/>
    <m/>
    <n v="2018011000290"/>
    <x v="0"/>
    <s v="C-3302-1603-2-0-3302004"/>
    <x v="6"/>
    <s v="DISEÑAR, PREPARAR Y REALIZAR EXPOSICIONES EN SALAS MUSEALES"/>
    <s v="NO"/>
    <n v="0"/>
    <s v="N.A"/>
    <s v="GESTIÓN CONTRACTUAL"/>
    <s v="JUAN MANUEL ESPINOSA RESTREPO "/>
    <n v="3422121"/>
    <s v="juan.espinosa@caroycuervo.gov.co"/>
    <m/>
    <s v="N.A"/>
    <m/>
    <m/>
    <m/>
    <s v="Contratación por el ICC en Mínima cuantía para la producción de una exposición de mediana duración para la producción de una exposición temporal de mediana duración que muestre la relación entre las colecciones del ICC y los comodatos del Fondo Cultural Cafetero, el Ministerio de Cultura y donacionaciones recientes en el marco de los 80 años del ICC."/>
  </r>
  <r>
    <n v="93141708"/>
    <s v="ACADÉMICA"/>
    <s v="EQUIPO DE GESTIÓN DE MUSEOS"/>
    <s v="APROPIACIÓN SOCIAL DEL CONOCIMIENTO"/>
    <s v="GESTIÓN DE MUSEOS"/>
    <s v="SERVICIOS PROFESIONALES DE DISEÑO GRÁFICO MUSEOGRÁFICO"/>
    <n v="1"/>
    <n v="1"/>
    <n v="10"/>
    <n v="15"/>
    <s v="CONTRATACIÓN DIRECTA"/>
    <x v="0"/>
    <n v="12214204"/>
    <m/>
    <n v="12214204"/>
    <m/>
    <n v="2018011000290"/>
    <x v="0"/>
    <s v="C-3302-1603-2-0-3302004"/>
    <x v="6"/>
    <s v="DISEÑAR, PREPARAR Y REALIZAR EXPOSICIONES EN SALAS MUSEALES"/>
    <s v="NO"/>
    <n v="0"/>
    <s v="N.A"/>
    <s v="GESTIÓN CONTRACTUAL"/>
    <s v="JUAN MANUEL ESPINOSA RESTREPO "/>
    <n v="3422121"/>
    <s v="juan.espinosa@caroycuervo.gov.co"/>
    <s v="NEFTALÍ VANEGAS"/>
    <s v="Se reduce contrato PS a 10,5 meses"/>
    <m/>
    <m/>
    <s v="CINDY FLORIDO"/>
    <m/>
  </r>
  <r>
    <n v="93141709"/>
    <s v="ACADÉMICA"/>
    <s v="EQUIPO DE GESTIÓN DE MUSEOS"/>
    <s v="APROPIACIÓN SOCIAL DEL CONOCIMIENTO"/>
    <s v="GESTIÓN DE MUSEOS"/>
    <s v="SERVICIOS PROFESIONALES DE DISEÑO GRÁFICO MUSEOGRÁFICO"/>
    <n v="1"/>
    <n v="1"/>
    <n v="10"/>
    <n v="15"/>
    <s v="CONTRATACIÓN DIRECTA"/>
    <x v="0"/>
    <n v="10694888"/>
    <m/>
    <n v="10694888"/>
    <m/>
    <n v="2018011000290"/>
    <x v="0"/>
    <s v="C-3302-1603-2-0-3302068"/>
    <x v="7"/>
    <s v="DISEÑAR, MONTAR, EDITAR, GRABAR Y PRODUCIR LA PROGRAMACIÓN"/>
    <s v="NO"/>
    <n v="1"/>
    <s v="N.A"/>
    <s v="GESTIÓN CONTRACTUAL"/>
    <s v="JUAN MANUEL ESPINOSA RESTREPO "/>
    <n v="3422121"/>
    <s v="juan.espinosa@caroycuervo.gov.co"/>
    <s v="NEFTALÍ VANEGAS"/>
    <s v="Se reduce contrato PS a 10,5 meses"/>
    <m/>
    <m/>
    <m/>
    <m/>
  </r>
  <r>
    <n v="86101700"/>
    <s v="ACADÉMICA"/>
    <s v="SUBDIRECCIÓN ACADÉMICA"/>
    <s v="FORMACIÓN"/>
    <s v="SUBDIRECCIÓN ACADÉMICA"/>
    <s v="CELEBRACIÓN DÍA DE LAS LENGUAS NATIVAS HONORARIOS"/>
    <n v="2"/>
    <n v="2"/>
    <n v="1"/>
    <n v="0"/>
    <s v="CONTRATACIÓN REGIMEN ESPECIAL"/>
    <x v="0"/>
    <n v="7000000"/>
    <m/>
    <n v="7000000"/>
    <m/>
    <n v="2018011000290"/>
    <x v="0"/>
    <s v="C-3302-1603-2-0-3302070"/>
    <x v="1"/>
    <s v="REALIZAR ACTIVIDADES DE CONSOLIDACIÓN ACADÉMICA"/>
    <s v="NO"/>
    <n v="0"/>
    <s v="N.A"/>
    <s v="GESTIÓN CONTRACTUAL"/>
    <s v="JUAN MANUEL ESPINOSA RESTREPO"/>
    <n v="3422121"/>
    <s v="juan.espinosa@caroycuervo.gov.co"/>
    <s v="N.A"/>
    <s v="N.A"/>
    <m/>
    <m/>
    <m/>
    <m/>
  </r>
  <r>
    <n v="86101700"/>
    <s v="ACADÉMICA"/>
    <s v="SUBDIRECCIÓN ACADÉMICA"/>
    <s v="FORMACIÓN"/>
    <s v="SUBDIRECCIÓN ACADÉMICA"/>
    <s v="SEMINARIO PERMANENTE LENGUAS NATIVAS HONORARIOS"/>
    <n v="3"/>
    <n v="3"/>
    <n v="9"/>
    <n v="0"/>
    <s v="CONTRATACIÓN REGIMEN ESPECIAL"/>
    <x v="0"/>
    <n v="9000000"/>
    <m/>
    <n v="9000000"/>
    <m/>
    <n v="2018011000290"/>
    <x v="0"/>
    <s v="C-3302-1603-2-0-3302070"/>
    <x v="1"/>
    <s v="REALIZAR ACTIVIDADES DE CONSOLIDACIÓN ACADÉMICA"/>
    <s v="NO"/>
    <n v="0"/>
    <s v="N.A"/>
    <s v="GESTIÓN CONTRACTUAL"/>
    <s v="JUAN MANUEL ESPINOSA RESTREPO"/>
    <n v="3422121"/>
    <s v="juan.espinosa@caroycuervo.gov.co"/>
    <s v="N.A"/>
    <s v="N.A"/>
    <m/>
    <m/>
    <m/>
    <m/>
  </r>
  <r>
    <n v="86101700"/>
    <s v="ACADÉMICA"/>
    <s v="SUBDIRECCIÓN ACADÉMICA"/>
    <s v="FORMACIÓN"/>
    <s v="SUBDIRECCIÓN ACADÉMICA"/>
    <s v="CÁTEDRA DE HERENCIA AFRICANA - HONORARIOS "/>
    <n v="3"/>
    <n v="3"/>
    <n v="9"/>
    <n v="0"/>
    <s v="CONTRATACIÓN REGIMEN ESPECIAL"/>
    <x v="0"/>
    <n v="9000000"/>
    <m/>
    <n v="9000000"/>
    <m/>
    <n v="2018011000290"/>
    <x v="0"/>
    <s v="C-3302-1603-2-0-3302070"/>
    <x v="1"/>
    <s v="REALIZAR ACTIVIDADES DE CONSOLIDACIÓN ACADÉMICA"/>
    <s v="NO"/>
    <n v="0"/>
    <s v="N.A"/>
    <s v="GESTIÓN CONTRACTUAL"/>
    <s v="JUAN MANUEL ESPINOSA RESTREPO"/>
    <n v="3422121"/>
    <s v="juan.espinosa@caroycuervo.gov.co"/>
    <s v="N.A"/>
    <s v="N.A"/>
    <m/>
    <m/>
    <m/>
    <m/>
  </r>
  <r>
    <n v="93151501"/>
    <s v="ACADÉMICA"/>
    <s v="SUBDIRECCIÓN ACADÉMICA"/>
    <s v="DIRECCIONAMIENTO ESTRATÉGICO"/>
    <s v="SUBDIRECCIÓN ACADÉMICA"/>
    <s v="CONTRATACIÓN PARA LA PRESTACIÓN DE SERVICIOS PROFESIONALES PARA APOYAR LA SUPERVISIÓN DE LAS ACTIVIDADES ACADÉMICAS, ADMINISTRATIVAS Y FINANCIERAS DE LA SUBDIRECCIÓN ACADÉMICA DEL INSTITUTO CARO Y CUERVO"/>
    <n v="1"/>
    <n v="1"/>
    <n v="11"/>
    <n v="15"/>
    <s v="CONTRATACIÓN DIRECTA"/>
    <x v="0"/>
    <n v="71069692"/>
    <m/>
    <n v="71069692"/>
    <n v="6179973"/>
    <n v="2018011000284"/>
    <x v="2"/>
    <s v="C-3399-1603-4-0-3399056"/>
    <x v="8"/>
    <s v=" DISEÑAR HERRAMIENTAS PARA ORIENTAR LA PLANEACIÓN INSTITUCIONAL "/>
    <s v="NO"/>
    <n v="0"/>
    <s v="N.A"/>
    <s v="GESTIÓN CONTRACTUAL"/>
    <s v="JUAN MANUEL ESPINOSA RESTREPO"/>
    <n v="3422121"/>
    <s v="juan.espinosa@caroycuervo.gov.co"/>
    <s v="VIVIANA MOGOLLÓN"/>
    <s v="N.A"/>
    <s v="CRISTIAN VELANDIA"/>
    <s v="DANIELA LEÓN"/>
    <s v="CINDY FLORIDO"/>
    <m/>
  </r>
  <r>
    <n v="0"/>
    <s v="ACADÉMICA"/>
    <s v="SUBDIRECCIÓN ACADÉMICA"/>
    <s v="FORMACIÓN"/>
    <s v="BECAS ESTÍMULOS 2021"/>
    <s v="BECAS ICC EN PROGRAMA NACIONAL DE ESTÍMULOS 2022"/>
    <n v="4"/>
    <n v="4"/>
    <n v="9"/>
    <n v="0"/>
    <s v="CONTRATACIÓN DIRECTA"/>
    <x v="0"/>
    <n v="132000000"/>
    <m/>
    <n v="132000000"/>
    <m/>
    <n v="2018011000290"/>
    <x v="0"/>
    <s v="C-3302-1603-2-0-3302001"/>
    <x v="2"/>
    <s v="DISEÑAR, APROBAR Y EJECUTAR LOS PROYECTOS DE INVESTIGACIÓN"/>
    <s v="SI"/>
    <n v="44000000"/>
    <s v="SOLICITADAS"/>
    <s v="GESTIÓN CONTRACTUAL"/>
    <s v="JUAN MANUEL ESPINOSA RESTREPO"/>
    <n v="3422121"/>
    <s v="juan.espinosa@caroycuervo.gov.co"/>
    <s v="N.A"/>
    <s v="N.A"/>
    <m/>
    <m/>
    <m/>
    <m/>
  </r>
  <r>
    <n v="78141500"/>
    <s v="ACADÉMICA"/>
    <s v="SUBDIRECCIÓN ACADÉMICA"/>
    <s v="FORMACIÓN"/>
    <s v="SUBDIRECCIÓN ACADÉMICA"/>
    <s v="GASTOS DE VIAJE (CONTRATISTAS) PARA DESPLAZARSE A IMPARTIR CURSOS DE DOCUMENTACIÓN LINGÜÍSTICA Y CULTURAL A COMUNIDADES INDÍGENAS EN EL MARCO DE SENTENCIAS DE JUZGADOS Y/O PLANES INTEGRALES DE REPARACIÓN - PLAN DECENAL DE LENGUAS"/>
    <n v="5"/>
    <n v="5"/>
    <n v="5"/>
    <n v="0"/>
    <s v="CONTRATACIÓN DIRECTA"/>
    <x v="1"/>
    <n v="8000000"/>
    <m/>
    <n v="8000000"/>
    <m/>
    <n v="2018011000290"/>
    <x v="0"/>
    <s v="C-3302-1603-2-0-3302070"/>
    <x v="1"/>
    <s v="REALIZAR ACTIVIDADES DE CONSOLIDACIÓN ACADÉMICA"/>
    <s v="NO"/>
    <n v="0"/>
    <s v="N.A"/>
    <s v="GESTIÓN CONTRACTUAL"/>
    <s v="JUAN MANUEL ESPINOSA RESTREPO"/>
    <n v="3422121"/>
    <s v="juan.espinosa@caroycuervo.gov.co"/>
    <s v="N.A"/>
    <s v="N.A"/>
    <m/>
    <m/>
    <m/>
    <m/>
  </r>
  <r>
    <n v="86101700"/>
    <s v="ACADÉMICA"/>
    <s v="SUBDIRECCIÓN ACADÉMICA"/>
    <s v="FORMACIÓN"/>
    <s v="SUBDIRECCIÓN ACADÉMICA"/>
    <s v="REVISIÓN PRUEBAS CANCILLERÍA 2022"/>
    <n v="4"/>
    <n v="4"/>
    <n v="1"/>
    <n v="0"/>
    <s v="CONTRATACIÓN DIRECTA"/>
    <x v="0"/>
    <n v="25000000"/>
    <m/>
    <n v="25000000"/>
    <m/>
    <n v="2018011000290"/>
    <x v="0"/>
    <s v="C-3302-1603-2-0-3302070"/>
    <x v="1"/>
    <s v="REALIZAR ACTIVIDADES DE CONSOLIDACIÓN ACADÉMICA"/>
    <s v="NO"/>
    <n v="0"/>
    <s v="N.A"/>
    <s v="GESTIÓN CONTRACTUAL"/>
    <s v="JUAN MANUEL ESPINOSA RESTREPO"/>
    <n v="3422121"/>
    <s v="juan.espinosa@caroycuervo.gov.co"/>
    <s v="N.A"/>
    <s v="N.A"/>
    <m/>
    <m/>
    <m/>
    <m/>
  </r>
  <r>
    <n v="86101700"/>
    <s v="ACADÉMICA"/>
    <s v="SUBDIRECCIÓN ACADÉMICA"/>
    <s v="FORMACIÓN"/>
    <s v="SUBDIRECCIÓN ACADÉMICA"/>
    <s v="CONTRATACIÓN PROFESIONALES EN LEXICOGRAFÍA PARA CONVENIO CON LA RAE - DHLE (DICCIONARIO HISTÓRICO DE LA LENGUA ESPAÑOLA)"/>
    <n v="1"/>
    <n v="1"/>
    <n v="5"/>
    <n v="0"/>
    <s v="CONTRATACIÓN DIRECTA"/>
    <x v="0"/>
    <n v="25000000"/>
    <m/>
    <n v="25000000"/>
    <m/>
    <n v="2018011000290"/>
    <x v="0"/>
    <s v="C-3302-1603-2-0-3302001"/>
    <x v="2"/>
    <s v="DISEÑAR, APROBAR Y EJECUTAR LOS PROYECTOS DE INVESTIGACIÓN"/>
    <s v="NO"/>
    <n v="0"/>
    <s v="N.A"/>
    <s v="GESTIÓN CONTRACTUAL"/>
    <s v="JUAN MANUEL ESPINOSA RESTREPO"/>
    <n v="3422121"/>
    <s v="juan.espinosa@caroycuervo.gov.co"/>
    <s v="N.A"/>
    <s v="N.A"/>
    <m/>
    <m/>
    <m/>
    <m/>
  </r>
  <r>
    <n v="80111621"/>
    <s v="ACADÉMICA"/>
    <s v="SUBDIRECCIÓN ACADÉMICA"/>
    <s v="FORMACIÓN"/>
    <s v="OBSERVATORIO EDITORIAL COLOMBIANO"/>
    <s v="CONTRATACIÓN PARA PRESTAR LOS SERVICIOS PROFESIONALES COMO INVESTIGADOR DEL OBSERVATORIO EDITORIAL COLOMBIANO"/>
    <n v="1"/>
    <n v="1"/>
    <n v="10"/>
    <n v="0"/>
    <s v="CONTRATACIÓN DIRECTA"/>
    <x v="0"/>
    <n v="19096200"/>
    <m/>
    <n v="19096200"/>
    <n v="1909620"/>
    <n v="2018011000290"/>
    <x v="0"/>
    <s v="C-3302-1603-2-0-3302001"/>
    <x v="2"/>
    <s v="DISEÑAR, APROBAR Y EJECUTAR LOS PROYECTOS DE INVESTIGACIÓN"/>
    <s v="NO"/>
    <n v="0"/>
    <s v="N.A"/>
    <s v="GESTIÓN CONTRACTUAL"/>
    <s v="JUAN MANUEL ESPINOSA RESTREPO"/>
    <n v="3422121"/>
    <s v="juan.espinosa@caroycuervo.gov.co"/>
    <s v="PABLO ESTRADA"/>
    <s v="N.A"/>
    <s v="CRISTIAN VELANDIA"/>
    <s v="GERMÁN BOLAÑOS"/>
    <s v="CINDY FLORIDO"/>
    <m/>
  </r>
  <r>
    <n v="80111621"/>
    <s v="ACADÉMICA"/>
    <s v="SUBDIRECCIÓN ACADÉMICA"/>
    <s v="FORMACIÓN"/>
    <s v="OBSERVATORIO EDITORIAL COLOMBIANO"/>
    <s v="CONTRATACIÓN PARA PRESTAR LOS SERVICIOS PROFESIONALES COMO INVESTIGADOR DEL OBSERVATORIO EDITORIAL COLOMBIANO"/>
    <n v="1"/>
    <n v="1"/>
    <n v="10"/>
    <n v="0"/>
    <s v="CONTRATACIÓN DIRECTA"/>
    <x v="0"/>
    <n v="19096200"/>
    <m/>
    <n v="19096200"/>
    <n v="1909620"/>
    <n v="2018011000290"/>
    <x v="0"/>
    <s v="C-3302-1603-2-0-3302001"/>
    <x v="2"/>
    <s v="DISEÑAR, APROBAR Y EJECUTAR LOS PROYECTOS DE INVESTIGACIÓN"/>
    <s v="NO"/>
    <n v="0"/>
    <s v="N.A"/>
    <s v="GESTIÓN CONTRACTUAL"/>
    <s v="JUAN MANUEL ESPINOSA RESTREPO"/>
    <n v="3422121"/>
    <s v="juan.espinosa@caroycuervo.gov.co"/>
    <s v="WILSON COLMENARES"/>
    <s v="N.A"/>
    <s v="CRISTIAN VELANDIA"/>
    <s v="GERMÁN BOLAÑOS"/>
    <s v="CINDY FLORIDO"/>
    <m/>
  </r>
  <r>
    <s v="86101700; 86141501"/>
    <s v="ACADÉMICA"/>
    <s v="FACULTAD SEMINARIO ANDRÉS BELLO"/>
    <s v="FORMACIÓN"/>
    <s v="MAESTRÍA EN ESCRITURA CREATIVA"/>
    <s v="COORDINADOR ACADÉMICO Y COORDINADOR DE EXTENSIÓN. TUTORÍAS INDIVIDUALES (2022-1). "/>
    <n v="1"/>
    <n v="1"/>
    <n v="11"/>
    <n v="0"/>
    <s v="CONTRATACIÓN DIRECTA"/>
    <x v="0"/>
    <n v="73520370"/>
    <m/>
    <n v="73520370"/>
    <n v="6683670"/>
    <n v="2018011000290"/>
    <x v="0"/>
    <s v="C-3302-1603-2-0-3302067"/>
    <x v="0"/>
    <s v="EJECUTAR PROGRAMAS DE POSGRADO CON REGISTRO CALIFICADO VIGENTE"/>
    <s v="NO"/>
    <n v="0"/>
    <s v="N.A"/>
    <s v="GESTIÓN CONTRACTUAL"/>
    <s v="MARÍA OFELIA ROS MATTURRO"/>
    <n v="3422121"/>
    <s v="ofelia.ros@caroycuervo.gov.co"/>
    <s v="GIUSEPPE CAPUTO"/>
    <s v="N.A"/>
    <s v="DIANA RAMÍREZ"/>
    <s v="DANIELA LEÓN"/>
    <s v="LINA ROCHA"/>
    <m/>
  </r>
  <r>
    <n v="86101710"/>
    <s v="ACADÉMICA"/>
    <s v="FACULTAD SEMINARIO ANDRÉS BELLO"/>
    <s v="FORMACIÓN"/>
    <s v="MAESTRÍA EN ESCRITURA CREATIVA"/>
    <s v="COORDINADORA DE EXTENSIÓN. TUTORÍAS INDIVIDUALES (2022-1). PROFESORA DE DIPLOMADO LATINOAMERICANO (2022-2, CURSO DE 36 HORAS) "/>
    <n v="2"/>
    <n v="2"/>
    <n v="10"/>
    <n v="15"/>
    <s v="CONTRATACIÓN DIRECTA"/>
    <x v="0"/>
    <n v="55140278"/>
    <m/>
    <n v="55140278"/>
    <n v="5251455"/>
    <n v="2018011000290"/>
    <x v="0"/>
    <s v="C-3302-1603-2-0-3302067"/>
    <x v="0"/>
    <s v="EJECUTAR PROGRAMAS DE POSGRADO CON REGISTRO CALIFICADO VIGENTE"/>
    <s v="NO"/>
    <n v="0"/>
    <s v="N.A"/>
    <s v="GESTIÓN CONTRACTUAL"/>
    <s v="MARÍA OFELIA ROS MATTURRO"/>
    <n v="3422121"/>
    <s v="ofelia.ros@caroycuervo.gov.co"/>
    <s v="GLORIA ESQUIVEL"/>
    <s v="N.A"/>
    <s v="DIANA RAMÍREZ"/>
    <s v="DANIELA LEÓN"/>
    <s v="LINA ROCHA"/>
    <m/>
  </r>
  <r>
    <s v="86101710; 80111621 "/>
    <s v="ACADÉMICA"/>
    <s v="FACULTAD SEMINARIO ANDRÉS BELLO"/>
    <s v="FORMACIÓN"/>
    <s v="MAESTRÍA EN ESCRITURA CREATIVA"/>
    <s v="DIRECTORA DE PROYECTO DE INVESTIGACIÓN. TUTORÍAS INDIVIDUALES (2022-1). PROFESORA DEL SEMINARIO-TALLER DE PROBLEMAS NARRATIVOS (2022-2)."/>
    <n v="2"/>
    <n v="2"/>
    <n v="10"/>
    <n v="15"/>
    <s v="CONTRATACIÓN DIRECTA"/>
    <x v="0"/>
    <n v="55140278"/>
    <m/>
    <n v="55140278"/>
    <n v="5251455"/>
    <n v="2018011000290"/>
    <x v="0"/>
    <s v="C-3302-1603-2-0-3302067"/>
    <x v="0"/>
    <s v="EJECUTAR PROGRAMAS DE POSGRADO CON REGISTRO CALIFICADO VIGENTE"/>
    <s v="NO"/>
    <n v="0"/>
    <s v="N.A"/>
    <s v="GESTIÓN CONTRACTUAL"/>
    <s v="MARÍA OFELIA ROS MATTURRO"/>
    <n v="3422121"/>
    <s v="ofelia.ros@caroycuervo.gov.co"/>
    <s v="FERNANDA TRIAS"/>
    <s v="N.A"/>
    <s v="DIANA RAMÍREZ"/>
    <s v="DANIELA LEÓN"/>
    <s v="LINA ROCHA"/>
    <m/>
  </r>
  <r>
    <s v="86101710; 80111621"/>
    <s v="ACADÉMICA"/>
    <s v="FACULTAD SEMINARIO ANDRÉS BELLO"/>
    <s v="FORMACIÓN"/>
    <s v="MAESTRÍA EN ESCRITURA CREATIVA"/>
    <s v="DIRECTOR DE PROYECTO DE INVESTIGACIÓN. TUTORÍAS INDIVIDUALES (2022-1). PROFESOR DE ELECTIVA (2022-2)."/>
    <n v="2"/>
    <n v="2"/>
    <n v="10"/>
    <n v="15"/>
    <s v="CONTRATACIÓN DIRECTA"/>
    <x v="0"/>
    <n v="55140278"/>
    <m/>
    <n v="55140278"/>
    <n v="5251455"/>
    <n v="2018011000290"/>
    <x v="0"/>
    <s v="C-3302-1603-2-0-3302067"/>
    <x v="0"/>
    <s v="EJECUTAR PROGRAMAS DE POSGRADO CON REGISTRO CALIFICADO VIGENTE"/>
    <s v="NO"/>
    <n v="0"/>
    <s v="N.A"/>
    <s v="GESTIÓN CONTRACTUAL"/>
    <s v="MARÍA OFELIA ROS MATTURRO"/>
    <n v="3422121"/>
    <s v="ofelia.ros@caroycuervo.gov.co"/>
    <s v="JUAN CÁRDENAS"/>
    <s v="N.A"/>
    <s v="DIANA RAMÍREZ"/>
    <s v="DANIELA LEÓN"/>
    <s v="LINA ROCHA"/>
    <m/>
  </r>
  <r>
    <s v="86101710; 80111621"/>
    <s v="ACADÉMICA"/>
    <s v="FACULTAD SEMINARIO ANDRÉS BELLO"/>
    <s v="FORMACIÓN"/>
    <s v="MAESTRÍA EN ESCRITURA CREATIVA"/>
    <s v="LÍDER DE LÍNEA DE INVESTIGACIÓN. TUTORÍAS INDIVIDUALES (2022-1). PROFESOR DEL CURSO INTERIORES DE LA ESCRITURA (2022-2)."/>
    <n v="2"/>
    <n v="2"/>
    <n v="10"/>
    <n v="15"/>
    <s v="CONTRATACIÓN DIRECTA"/>
    <x v="0"/>
    <n v="58482113"/>
    <m/>
    <n v="58482113"/>
    <n v="5569725"/>
    <n v="2018011000290"/>
    <x v="0"/>
    <s v="C-3302-1603-2-0-3302067"/>
    <x v="0"/>
    <s v="EJECUTAR PROGRAMAS DE POSGRADO CON REGISTRO CALIFICADO VIGENTE"/>
    <s v="NO"/>
    <n v="0"/>
    <s v="N.A"/>
    <s v="GESTIÓN CONTRACTUAL"/>
    <s v="MARÍA OFELIA ROS MATTURRO"/>
    <n v="3422121"/>
    <s v="ofelia.ros@caroycuervo.gov.co"/>
    <s v="JUAN ÁLVAREZ"/>
    <s v="N.A"/>
    <s v="DIANA RAMÍREZ"/>
    <s v="DANIELA LEÓN"/>
    <s v="LINA ROCHA"/>
    <m/>
  </r>
  <r>
    <n v="86101710"/>
    <s v="ACADÉMICA"/>
    <s v="FACULTAD SEMINARIO ANDRÉS BELLO"/>
    <s v="FORMACIÓN"/>
    <s v="MAESTRÍA EN ESTUDIOS EDITORIALES"/>
    <s v="CONTRATACIÓN: DOCENTE CURSO TRONCAL: ESCRITURA ARGUMENTATIVA (2022-2)"/>
    <n v="8"/>
    <n v="8"/>
    <n v="4"/>
    <n v="0"/>
    <s v="CONTRATACIÓN DIRECTA"/>
    <x v="0"/>
    <n v="9658311"/>
    <m/>
    <n v="9658311"/>
    <n v="2414577"/>
    <n v="2018011000290"/>
    <x v="0"/>
    <s v="C-3302-1603-2-0-3302067"/>
    <x v="0"/>
    <s v="EJECUTAR PROGRAMAS DE POSGRADO CON REGISTRO CALIFICADO VIGENTE"/>
    <s v="NO"/>
    <n v="0"/>
    <s v="N.A"/>
    <s v="GESTIÓN CONTRACTUAL"/>
    <s v="MARÍA OFELIA ROS MATTURRO"/>
    <n v="3422121"/>
    <s v="ofelia.ros@caroycuervo.gov.co"/>
    <s v="MARGARITA CATALINA VALENCIA"/>
    <s v="N.A"/>
    <s v="DIANA RAMÍREZ"/>
    <s v="DANIELA LEÓN"/>
    <m/>
    <s v="este es margarita valencia"/>
  </r>
  <r>
    <s v="86101710; 80111621 "/>
    <s v="ACADÉMICA"/>
    <s v="FACULTAD SEMINARIO ANDRÉS BELLO"/>
    <s v="FORMACIÓN"/>
    <s v="MAESTRÍA EN ESTUDIOS EDITORIALES"/>
    <s v="CONTRATACIÓN DOCENTE- INVESTIGADOR: DOCENTE SEMINARIO IV (2022-1) Y ELECTIVA/EXTENSIÓN (2022-2) - LÍDER PROYECTO DE INVESTIGACIÓN - ASESORA DE TESIS"/>
    <n v="2"/>
    <n v="2"/>
    <n v="10"/>
    <n v="15"/>
    <s v="CONTRATACIÓN DIRECTA"/>
    <x v="0"/>
    <n v="46785690"/>
    <m/>
    <n v="46785690"/>
    <n v="4455780"/>
    <n v="2018011000290"/>
    <x v="0"/>
    <s v="C-3302-1603-2-0-3302067"/>
    <x v="0"/>
    <s v="EJECUTAR PROGRAMAS DE POSGRADO CON REGISTRO CALIFICADO VIGENTE"/>
    <s v="NO"/>
    <n v="0"/>
    <s v="N.A"/>
    <s v="GESTIÓN CONTRACTUAL"/>
    <s v="MARÍA OFELIA ROS MATTURRO"/>
    <n v="3422121"/>
    <s v="ofelia.ros@caroycuervo.gov.co"/>
    <s v="CATALINA HOLGUÍN"/>
    <s v="N.A"/>
    <s v="DIANA RAMÍREZ"/>
    <s v="DANIELA LEÓN"/>
    <s v="MARCELA GUALTEROS"/>
    <m/>
  </r>
  <r>
    <s v="86101710; 80111621 "/>
    <s v="ACADÉMICA"/>
    <s v="FACULTAD SEMINARIO ANDRÉS BELLO"/>
    <s v="FORMACIÓN"/>
    <s v="MAESTRÍA EN ESTUDIOS EDITORIALES"/>
    <s v="CONTRATACIÓN DOCENTE-INVESTIGADOR: DOCENTE ELECTIVA/EXTENSIÓN (2022-1) Y DISEÑO Y TIPOGRAFÍA I (2022-2) - LÍDER PROYECTO DE INVESTIGACIÓN - ASESOR DE TESIS"/>
    <n v="2"/>
    <n v="2"/>
    <n v="10"/>
    <n v="15"/>
    <s v="CONTRATACIÓN DIRECTA"/>
    <x v="0"/>
    <n v="52633901"/>
    <m/>
    <n v="52633901"/>
    <n v="5012752"/>
    <n v="2018011000290"/>
    <x v="0"/>
    <s v="C-3302-1603-2-0-3302067"/>
    <x v="0"/>
    <s v="EJECUTAR PROGRAMAS DE POSGRADO CON REGISTRO CALIFICADO VIGENTE"/>
    <s v="NO"/>
    <n v="0"/>
    <s v="N.A"/>
    <s v="GESTIÓN CONTRACTUAL"/>
    <s v="MARÍA OFELIA ROS MATTURRO"/>
    <n v="3422121"/>
    <s v="ofelia.ros@caroycuervo.gov.co"/>
    <s v="IGNACIO MARTÍNEZ"/>
    <s v="N.A"/>
    <s v="DIANA RAMÍREZ"/>
    <s v="DANIELA LEÓN"/>
    <s v="MARCELA GUALTEROS"/>
    <m/>
  </r>
  <r>
    <s v="86101710; 80111621 "/>
    <s v="ACADÉMICA"/>
    <s v="FACULTAD SEMINARIO ANDRÉS BELLO"/>
    <s v="FORMACIÓN"/>
    <s v="MAESTRÍA EN ESTUDIOS EDITORIALES"/>
    <s v="CONTRATACIÓN DOCENTE-INVESTIGADOR: DOCENTE ELECTIVA/EXTENSIÓN (2022-1) Y SEMINARIO I (2022-2) - LÍDER PROYECTO DE INVESTIGACIÓN - ASESORA DE TESIS - DIRECTORA LÍNEA DE INVESTIGACIÓN - COORDINADORA DIPLOMADO"/>
    <n v="2"/>
    <n v="2"/>
    <n v="10"/>
    <n v="15"/>
    <s v="CONTRATACIÓN DIRECTA"/>
    <x v="0"/>
    <n v="64582288"/>
    <n v="-6100176"/>
    <n v="58482112"/>
    <n v="5569725"/>
    <n v="2018011000290"/>
    <x v="0"/>
    <s v="C-3302-1603-2-0-3302067"/>
    <x v="0"/>
    <s v="EJECUTAR PROGRAMAS DE POSGRADO CON REGISTRO CALIFICADO VIGENTE"/>
    <s v="NO"/>
    <n v="0"/>
    <s v="N.A"/>
    <s v="GESTIÓN CONTRACTUAL"/>
    <s v="MARÍA OFELIA ROS MATTURRO"/>
    <n v="3422121"/>
    <s v="ofelia.ros@caroycuervo.gov.co"/>
    <s v="PAULA MARÍN"/>
    <s v="N.A"/>
    <s v="DIANA RAMÍREZ"/>
    <s v="DANIELA LEÓN"/>
    <s v="MARCELA GUALTEROS"/>
    <m/>
  </r>
  <r>
    <n v="86101710"/>
    <s v="ACADÉMICA"/>
    <s v="FACULTAD SEMINARIO ANDRÉS BELLO"/>
    <s v="FORMACIÓN"/>
    <s v="MAESTRÍA EN ESTUDIOS EDITORIALES"/>
    <s v="CONTRATACIÓN COORDINADOR DIPLOMADO EN EDICIÓN ACADÉMICA E INSTITUCIONAL - MODALIDAD PRESENCIA - REMOTA ASINCRÓNICA "/>
    <n v="6"/>
    <n v="6"/>
    <n v="6"/>
    <n v="0"/>
    <s v="CONTRATACIÓN DIRECTA"/>
    <x v="0"/>
    <n v="0"/>
    <n v="6100176"/>
    <n v="6100176"/>
    <n v="1016696"/>
    <n v="2018011000290"/>
    <x v="0"/>
    <s v="C-3302-1603-2-0-3302067"/>
    <x v="0"/>
    <s v="EJECUTAR PROGRAMAS DE POSGRADO CON REGISTRO CALIFICADO VIGENTE"/>
    <s v="NO"/>
    <n v="0"/>
    <s v="N.A"/>
    <s v="GESTIÓN CONTRACTUAL"/>
    <s v="MARÍA OFELIA ROS MATTURRO"/>
    <n v="3422121"/>
    <s v="ofelia.ros@caroycuervo.gov.co"/>
    <s v="SILVANA BLANCO "/>
    <s v="N.A"/>
    <s v="DIANA RAMÍREZ"/>
    <s v="DANIELA LEÓN"/>
    <s v="MARCELA GUALTEROS"/>
    <m/>
  </r>
  <r>
    <s v="86101700; 86141501"/>
    <s v="ACADÉMICA"/>
    <s v="FACULTAD SEMINARIO ANDRÉS BELLO"/>
    <s v="FORMACIÓN"/>
    <s v="MAESTRÍA EN ESTUDIOS EDITORIALES"/>
    <s v="CONTRATACIÓN COORDINADOR MAESTRÍA-INVESTIGADOR: COORDINACIÓN DE LA MEE - ACTUALIZACIÓN DOC. MAESTRO - LÍDER DE PROYECTO INVESTIGACIÓN - ASESOR DE TESIS - CURSO DE EXTENSIÓN (2022-2) "/>
    <n v="1"/>
    <n v="1"/>
    <n v="11"/>
    <n v="0"/>
    <s v="CONTRATACIÓN DIRECTA"/>
    <x v="0"/>
    <n v="73520370"/>
    <m/>
    <n v="73520370"/>
    <n v="6683670"/>
    <n v="2018011000290"/>
    <x v="0"/>
    <s v="C-3302-1603-2-0-3302067"/>
    <x v="0"/>
    <s v="EJECUTAR PROGRAMAS DE POSGRADO CON REGISTRO CALIFICADO VIGENTE"/>
    <s v="NO"/>
    <n v="0"/>
    <s v="N.A"/>
    <s v="GESTIÓN CONTRACTUAL"/>
    <s v="MARÍA OFELIA ROS MATTURRO"/>
    <n v="3422121"/>
    <s v="ofelia.ros@caroycuervo.gov.co"/>
    <s v="JUAN MURILLO"/>
    <s v="N.A"/>
    <s v="DIANA RAMÍREZ"/>
    <s v="DANIELA LEÓN"/>
    <m/>
    <m/>
  </r>
  <r>
    <n v="86101710"/>
    <s v="ACADÉMICA"/>
    <s v="FACULTAD SEMINARIO ANDRÉS BELLO"/>
    <s v="FORMACIÓN"/>
    <s v="MAESTRÍA EN ESTUDIOS EDITORIALES"/>
    <s v="CONTRATACIÓN DOCENTE DOS CURSOS ELECTIVA-EXTENSIÓN: DOCENTE CURSOS: CORRECCIÓN DE ESTILO BÁSICA (2022-1) Y CORRECCIÓN DE ESTILO Y CUIDADO DE TEXTOS LITERARIOS (2022-2) Y UN CURSO INTERSEMESTRAL"/>
    <n v="2"/>
    <n v="2"/>
    <n v="10"/>
    <n v="0"/>
    <s v="CONTRATACIÓN DIRECTA"/>
    <x v="0"/>
    <n v="15432696"/>
    <m/>
    <n v="15432696"/>
    <n v="1929087"/>
    <n v="2018011000290"/>
    <x v="0"/>
    <s v="C-3302-1603-2-0-3302066"/>
    <x v="4"/>
    <s v="PROGRAMAR, DISEÑAR Y OFERTAR PROGRAMAS DE EDUCACIÓN INFORMAL"/>
    <s v="NO"/>
    <n v="0"/>
    <s v="N.A"/>
    <s v="GESTIÓN CONTRACTUAL"/>
    <s v="MARÍA OFELIA ROS MATTURRO"/>
    <n v="3422121"/>
    <s v="ofelia.ros@caroycuervo.gov.co"/>
    <s v="HERNANDO ESCOBAR"/>
    <s v="N.A"/>
    <s v="DIANA RAMÍREZ"/>
    <s v="DANIELA LEÓN"/>
    <m/>
    <m/>
  </r>
  <r>
    <n v="86101600"/>
    <s v="ACADÉMICA"/>
    <s v="FACULTAD SEMINARIO ANDRÉS BELLO"/>
    <s v="FORMACIÓN"/>
    <s v="MAESTRÍA EN ESTUDIOS EDITORIALES"/>
    <s v="DIEZ LICENCIAS ESTUDIOS EDITORIALES IN DESIGN ADOBE, 10 LICENCIAS DE AGOSTO A NOVIEMBRE"/>
    <n v="6"/>
    <n v="6"/>
    <n v="0"/>
    <n v="0"/>
    <s v="CONTRATACIÓN DIRECTA"/>
    <x v="0"/>
    <n v="7007800"/>
    <m/>
    <n v="7007800"/>
    <m/>
    <n v="2018011000290"/>
    <x v="0"/>
    <s v="C-3302-1603-2-0-3302067"/>
    <x v="0"/>
    <s v="EJECUTAR PROGRAMAS DE POSGRADO CON REGISTRO CALIFICADO VIGENTE"/>
    <s v="NO"/>
    <n v="0"/>
    <s v="N.A"/>
    <s v="GESTIÓN CONTRACTUAL"/>
    <s v="MARÍA OFELIA ROS MATTURRO"/>
    <n v="3422121"/>
    <s v="ofelia.ros@caroycuervo.gov.co"/>
    <s v="N.A"/>
    <s v="N.A"/>
    <m/>
    <m/>
    <m/>
    <m/>
  </r>
  <r>
    <s v="86101700; 86141501; 80111621"/>
    <s v="ACADÉMICA"/>
    <s v="FACULTAD SEMINARIO ANDRÉS BELLO"/>
    <s v="FORMACIÓN"/>
    <s v="MAESTRÍA EN LINGÜÍSTICA"/>
    <s v="COORDINADOR MAESTRÍA EN LINGÜÍSTICA + DOCENTE DE UN CURSO AL SEMESTRE + COORDINADOR DE LÍNEA DE INVESTIGACIÓN EN ESTUDIOS FÓNICOS +, INVESTIGADOR CON PROYECTO APROBADO + CINCO ASESORÍAS POR SEMESTRE A CADA ALUMNO + TUTOR DE MÍNIMO DOS TRABAJOS DE GRADO"/>
    <n v="1"/>
    <n v="11"/>
    <n v="11"/>
    <n v="0"/>
    <s v="CONTRATACIÓN DIRECTA"/>
    <x v="0"/>
    <n v="88644560"/>
    <m/>
    <n v="88644560"/>
    <n v="8058596"/>
    <n v="2018011000290"/>
    <x v="0"/>
    <s v="C-3302-1603-2-0-3302067"/>
    <x v="0"/>
    <s v="EJECUTAR PROGRAMAS DE POSGRADO CON REGISTRO CALIFICADO VIGENTE"/>
    <s v="NO"/>
    <n v="0"/>
    <s v="N.A"/>
    <s v="GESTIÓN CONTRACTUAL"/>
    <s v="MARÍA OFELIA ROS MATTURRO"/>
    <n v="3422121"/>
    <s v="ofelia.ros@caroycuervo.gov.co"/>
    <s v="ALEJANDRO CORREA"/>
    <s v="N.A"/>
    <s v="DIANA RAMÍREZ"/>
    <s v="DANIELA LEÓN"/>
    <s v="LINA ROCHA"/>
    <m/>
  </r>
  <r>
    <s v="86101710; 80111621 "/>
    <s v="ACADÉMICA"/>
    <s v="FACULTAD SEMINARIO ANDRÉS BELLO"/>
    <s v="FORMACIÓN"/>
    <s v="MAESTRÍA EN LINGÜÍSTICA"/>
    <s v="DOCENTE INVESTIGADOR CON DOCTORADO + HASTA DOS CURSOS POR SEMESTRE + INVESTIGADOR CON PROYECTO APROBADO + TUTOR DE MÍNIMO DOS TRABAJOS DE GRADO + CINCO ASESORÍAS POR SEMESTRE A CADA ALUMNO + EVALUACIÓN DE TRABAJOS DE GRADO + ANTEPROYECTOS CUANDO SE REQUIERA"/>
    <n v="1"/>
    <n v="10"/>
    <n v="10"/>
    <n v="15"/>
    <s v="CONTRATACIÓN DIRECTA"/>
    <x v="0"/>
    <n v="52633371"/>
    <m/>
    <n v="52633371"/>
    <n v="5012702"/>
    <n v="2018011000290"/>
    <x v="0"/>
    <s v="C-3302-1603-2-0-3302067"/>
    <x v="0"/>
    <s v="EJECUTAR PROGRAMAS DE POSGRADO CON REGISTRO CALIFICADO VIGENTE"/>
    <s v="NO"/>
    <n v="0"/>
    <s v="N.A"/>
    <s v="GESTIÓN CONTRACTUAL"/>
    <s v="MARÍA OFELIA ROS MATTURRO"/>
    <n v="3422121"/>
    <s v="ofelia.ros@caroycuervo.gov.co"/>
    <s v="CAMILO DÍAZ"/>
    <s v="N.A"/>
    <s v="DIANA RAMÍREZ"/>
    <s v="DANIELA LEÓN"/>
    <m/>
    <m/>
  </r>
  <r>
    <s v="86101710; 80111621 "/>
    <s v="ACADÉMICA"/>
    <s v="FACULTAD SEMINARIO ANDRÉS BELLO"/>
    <s v="FORMACIÓN"/>
    <s v="MAESTRÍA EN LINGÜÍSTICA"/>
    <s v="DOCENTE INVESTIGADOR CON DOCTORADO + HASTA DOS CURSOS POR SEMESTRE + INVESTIGADOR CON PROYECTO APROBADO + TUTOR DE MÍNIMO DOS TRABAJOS DE GRADO + CINCO ASESORÍAS POR SEMESTRE A CADA ALUMNO + EVALUACIÓN DE TRABAJOS DE GRADO + ANTEPROYECTOS CUANDO SE REQUIERA"/>
    <n v="1"/>
    <n v="10"/>
    <n v="10"/>
    <n v="15"/>
    <s v="CONTRATACIÓN DIRECTA"/>
    <x v="0"/>
    <n v="52633371"/>
    <m/>
    <n v="52633371"/>
    <n v="5012702"/>
    <n v="2018011000290"/>
    <x v="0"/>
    <s v="C-3302-1603-2-0-3302067"/>
    <x v="0"/>
    <s v="EJECUTAR PROGRAMAS DE POSGRADO CON REGISTRO CALIFICADO VIGENTE"/>
    <s v="NO"/>
    <n v="0"/>
    <s v="N.A"/>
    <s v="GESTIÓN CONTRACTUAL"/>
    <s v="MARÍA OFELIA ROS MATTURRO"/>
    <n v="3422121"/>
    <s v="ofelia.ros@caroycuervo.gov.co"/>
    <s v="SERGIO JIMENEZ"/>
    <s v="N.A"/>
    <s v="DIANA RAMÍREZ"/>
    <s v="DANIELA LEÓN"/>
    <m/>
    <m/>
  </r>
  <r>
    <s v="86101710; 80111621 "/>
    <s v="ACADÉMICA"/>
    <s v="FACULTAD SEMINARIO ANDRÉS BELLO"/>
    <s v="FORMACIÓN"/>
    <s v="MAESTRÍA EN LINGÜÍSTICA"/>
    <s v="DOCENTE INVESTIGADOR CON DOCTORADO + HASTA DOS CURSOS POR SEMESTRE + INVESTIGADOR CON PROYECTO APROBADO + TUTOR DE MÍNIMO DOS TRABAJOS DE GRADO + CINCO ASESORÍAS POR SEMESTRE A CADA ALUMNO + EVALUACIÓN DE TRABAJOS DE GRADO + ANTEPROYECTOS CUANDO SE REQUIERA"/>
    <n v="1"/>
    <n v="10"/>
    <n v="10"/>
    <n v="15"/>
    <s v="CONTRATACIÓN DIRECTA"/>
    <x v="0"/>
    <n v="52633371"/>
    <m/>
    <n v="52633371"/>
    <n v="5012702"/>
    <n v="2018011000290"/>
    <x v="0"/>
    <s v="C-3302-1603-2-0-3302067"/>
    <x v="0"/>
    <s v="EJECUTAR PROGRAMAS DE POSGRADO CON REGISTRO CALIFICADO VIGENTE"/>
    <s v="NO"/>
    <n v="0"/>
    <s v="N.A"/>
    <s v="GESTIÓN CONTRACTUAL"/>
    <s v="MARÍA OFELIA ROS MATTURRO"/>
    <n v="3422121"/>
    <s v="ofelia.ros@caroycuervo.gov.co"/>
    <s v="VIVIANA MAHECHA"/>
    <s v="N.A"/>
    <s v="DIANA RAMÍREZ"/>
    <s v="DANIELA LEÓN"/>
    <m/>
    <m/>
  </r>
  <r>
    <s v="86101710; 80111621"/>
    <s v="ACADÉMICA"/>
    <s v="FACULTAD SEMINARIO ANDRÉS BELLO"/>
    <s v="FORMACIÓN"/>
    <s v="MAESTRÍA EN LITERATURA Y CULTURA"/>
    <s v="CONTRATACIÓN DE UNA DOCENTE INVESTIGADORA CON DOCTORADO QUE COORDINARÁ LA CÁTEDRA DE HERENCIA AFRICANA, DICTARÁ EL CURSO &quot;TEORÍAS, POLÍTICAS Y CULTURA EN LATINOAMÉRICA&quot; EN EL PRIMER SEMESTRE 2022-1 Y &quot;SEMINARIO DE TRABAJO DE GRADO&quot; EN EL SEGUNDO SEMESTRE, 2022-2 Y SERÁ DIRECTORA DEL PROYECTO DE INVESTIGACIÓN POÉTICAS TRANSFRONTERIZAS (AFRO E INDÍGENAS).  NOMBRE: GRACIELA MAGLIA."/>
    <n v="2"/>
    <n v="10"/>
    <n v="10"/>
    <n v="15"/>
    <s v="CONTRATACIÓN DIRECTA"/>
    <x v="0"/>
    <n v="63336503"/>
    <m/>
    <n v="63336503"/>
    <n v="6032047"/>
    <n v="2018011000290"/>
    <x v="0"/>
    <s v="C-3302-1603-2-0-3302067"/>
    <x v="0"/>
    <s v="EJECUTAR PROGRAMAS DE POSGRADO CON REGISTRO CALIFICADO VIGENTE"/>
    <s v="NO"/>
    <n v="0"/>
    <s v="N.A"/>
    <s v="GESTIÓN CONTRACTUAL"/>
    <s v="MARÍA OFELIA ROS MATTURRO"/>
    <n v="3422121"/>
    <s v="ofelia.ros@caroycuervo.gov.co"/>
    <s v="GRACIELA MAGLIA"/>
    <s v="N.A"/>
    <s v="DIANA RAMÍREZ"/>
    <s v="DANIELA LEÓN"/>
    <s v="LINA ROCHA"/>
    <m/>
  </r>
  <r>
    <s v="86101710; 80111621"/>
    <s v="ACADÉMICA"/>
    <s v="FACULTAD SEMINARIO ANDRÉS BELLO"/>
    <s v="FORMACIÓN"/>
    <s v="MAESTRÍA EN LITERATURA Y CULTURA"/>
    <s v="CONTRATACIÓN DE UN DOCENTE INVESTIGADOR QUE DICTARÁ DOS CURSOS DE LA MAESTRÍA: EN EL SEMESTRE 2022-1  DICTARÁ &quot;LITERATURAS, CONTRASTES,TENSIONES&quot; Y EN EL SEMESTRE 2022-2 DICTARÁ &quot;SEMINARIO DE TRABAJO DE GRADO&quot;  SERÁ DIRECTOR DE LÍNEA DE INVESTIGACIÓN, DIRECTOR DE PROYECTO DE INVESTIGACIÓN &quot;CARTOGRAFÍAS DEL CUENTO EN COLOMBIA, FASE 3&quot; Y DIRECTOR DE AL MENOS 4 PROYECTOS DE TRABAJO DE GRADO. NOMBRE: JULIO ALBERTO BEJARANO HERNÁNDEZ"/>
    <n v="2"/>
    <n v="10"/>
    <n v="10"/>
    <n v="15"/>
    <s v="CONTRATACIÓN DIRECTA"/>
    <x v="0"/>
    <n v="58482112"/>
    <m/>
    <n v="58482112"/>
    <n v="5569725"/>
    <n v="2018011000290"/>
    <x v="0"/>
    <s v="C-3302-1603-2-0-3302067"/>
    <x v="0"/>
    <s v="EJECUTAR PROGRAMAS DE POSGRADO CON REGISTRO CALIFICADO VIGENTE"/>
    <s v="NO"/>
    <n v="0"/>
    <s v="N.A"/>
    <s v="GESTIÓN CONTRACTUAL"/>
    <s v="MARÍA OFELIA ROS MATTURRO"/>
    <n v="3422121"/>
    <s v="ofelia.ros@caroycuervo.gov.co"/>
    <s v="ALBERTO BEJARANO"/>
    <s v="N.A"/>
    <s v="DIANA RAMÍREZ"/>
    <s v="DANIELA LEÓN"/>
    <s v="LINA ROCHA"/>
    <m/>
  </r>
  <r>
    <s v="86101710; 80111621"/>
    <s v="ACADÉMICA"/>
    <s v="FACULTAD SEMINARIO ANDRÉS BELLO"/>
    <s v="FORMACIÓN"/>
    <s v="MAESTRÍA EN LITERATURA Y CULTURA"/>
    <s v="CONTRATACIÓN DE UN DOCENTE INVESTIGADOR QUE DICTARÁ DOS CURSOS DE LA MAESTRÍA: EN EL  SEMESTRE 2022-1  DICTARÁ &quot;TALLER DE METODOLOGÍA DE INVESTIGACIÓN B&quot; Y EN EL SEMESTRE 2022-2 DICTARÁ &quot;SEMINARIO DE TRABAJO DE GRADO&quot;, SERÁ DIRECTOR DE PROYECTO DE INVESTIGACIÓN &quot;POESÍA EN MOVIMIENTO&quot;, FASE 3 Y DIRECTOR DE 4 TRABAJOS DE GRADO. NOMBRE: GUILLERMO MOLINA MORALES."/>
    <n v="2"/>
    <n v="10"/>
    <n v="10"/>
    <n v="15"/>
    <s v="CONTRATACIÓN DIRECTA"/>
    <x v="0"/>
    <n v="52633901"/>
    <m/>
    <n v="52633901"/>
    <n v="5012752"/>
    <n v="2018011000290"/>
    <x v="0"/>
    <s v="C-3302-1603-2-0-3302067"/>
    <x v="0"/>
    <s v="EJECUTAR PROGRAMAS DE POSGRADO CON REGISTRO CALIFICADO VIGENTE"/>
    <s v="NO"/>
    <n v="0"/>
    <s v="N.A"/>
    <s v="GESTIÓN CONTRACTUAL"/>
    <s v="MARÍA OFELIA ROS MATTURRO"/>
    <n v="3422121"/>
    <s v="ofelia.ros@caroycuervo.gov.co"/>
    <s v="GUILLERMO MOLINA"/>
    <s v="N.A"/>
    <s v="DIANA RAMÍREZ"/>
    <s v="DANIELA LEÓN"/>
    <s v="LINA ROCHA"/>
    <m/>
  </r>
  <r>
    <s v="86101710; 80111621"/>
    <s v="ACADÉMICA"/>
    <s v="FACULTAD SEMINARIO ANDRÉS BELLO"/>
    <s v="FORMACIÓN"/>
    <s v="MAESTRÍA EN LITERATURA Y CULTURA"/>
    <s v="CONTRATACIÓN DE UN DOCENTE INVESTIGADOR QUE DICTARÁ DOS CURSOS DE LA MAESTRÍA: EN EL SEMESTRE 2022-1 DICTARÁ &quot;ELECTIVA IV&quot; Y EN EL SEGUNDO SEMESTRE DICTARÁ &quot;SEMINARIO DE TRABAJO DE GRADO&quot;. SERÁ DIRECTORA DEL PROYECTO DE INVESTIGACIÓN &quot;TEXTUALIDADES DESDE TRES PUNTOS CARDINALES: AGENCIAS Y REPRESENTACIONES DE PERTENENCIA COLECTIVA&quot;. NOMBRE: ADRIANA CAMPOS UMBARILA."/>
    <n v="2"/>
    <n v="2"/>
    <n v="10"/>
    <n v="15"/>
    <s v="CONTRATACIÓN DIRECTA"/>
    <x v="0"/>
    <n v="52633901"/>
    <m/>
    <n v="52633901"/>
    <n v="5012753"/>
    <n v="2018011000290"/>
    <x v="0"/>
    <s v="C-3302-1603-2-0-3302067"/>
    <x v="0"/>
    <s v="EJECUTAR PROGRAMAS DE POSGRADO CON REGISTRO CALIFICADO VIGENTE"/>
    <s v="NO"/>
    <n v="0"/>
    <s v="N.A"/>
    <s v="GESTIÓN CONTRACTUAL"/>
    <s v="MARÍA OFELIA ROS MATTURRO"/>
    <n v="3422121"/>
    <s v="ofelia.ros@caroycuervo.gov.co"/>
    <s v="ADRIANA CAMPOS"/>
    <s v="N.A"/>
    <s v="DIANA RAMÍREZ"/>
    <s v="DANIELA LEÓN"/>
    <s v="LINA ROCHA"/>
    <m/>
  </r>
  <r>
    <s v="86101700; 86141501"/>
    <s v="ACADÉMICA"/>
    <s v="FACULTAD SEMINARIO ANDRÉS BELLO"/>
    <s v="FORMACIÓN"/>
    <s v="MAESTRÍA EN ENSEÑANZA DE ESPAÑOL COMO LENGUA EXTRANJERA Y SEGUNDA LENGUA"/>
    <s v="COORDINADOR MAESTRÍA ELE/L2 + COORDINADOR EDITORIAL SERIE ELE/2+COORDINADOR DIPLOMADO ICC-INSOR+COORDINADOR CURSO DE VERANO+DOCENTE CURSO DE VERANO"/>
    <n v="1"/>
    <n v="1"/>
    <n v="11"/>
    <n v="0"/>
    <s v="CONTRATACIÓN DIRECTA"/>
    <x v="0"/>
    <n v="82790370"/>
    <m/>
    <n v="82790370"/>
    <n v="7526397"/>
    <n v="2018011000290"/>
    <x v="0"/>
    <s v="C-3302-1603-2-0-3302067"/>
    <x v="0"/>
    <s v="EJECUTAR PROGRAMAS DE POSGRADO CON REGISTRO CALIFICADO VIGENTE"/>
    <s v="NO"/>
    <n v="0"/>
    <s v="N.A"/>
    <s v="GESTIÓN CONTRACTUAL"/>
    <s v="MARÍA OFELIA ROS MATTURRO"/>
    <n v="3422121"/>
    <s v="ofelia.ros@caroycuervo.gov.co"/>
    <s v="VIVIANA NIETO"/>
    <s v="N.A"/>
    <s v="DIANA RAMÍREZ"/>
    <s v="DANIELA LEÓN"/>
    <s v="LINA ROCHA"/>
    <m/>
  </r>
  <r>
    <s v="86101710; 80111621 "/>
    <s v="ACADÉMICA"/>
    <s v="FACULTAD SEMINARIO ANDRÉS BELLO"/>
    <s v="FORMACIÓN"/>
    <s v="MAESTRÍA EN ENSEÑANZA DE ESPAÑOL COMO LENGUA EXTRANJERA Y SEGUNDA LENGUA"/>
    <s v="DOCENTE-INVESTIGADOR MAESTRÍA ELE/L2+LÍDER DE LÍNEA+DIRECTOR DE PROYECTO+ENCARGADO DE ESCRIBIR DOCUMENTO MAESTRO DOCTORADO FSAB+APOYO A VISITA DE PARES MAESTRÍA ELE/L2 REGISTRO ÚNICO"/>
    <n v="2"/>
    <n v="2"/>
    <n v="10"/>
    <n v="15"/>
    <s v="CONTRATACIÓN DIRECTA"/>
    <x v="0"/>
    <n v="70841031"/>
    <m/>
    <n v="70841031"/>
    <n v="6746764"/>
    <n v="2018011000290"/>
    <x v="0"/>
    <s v="C-3302-1603-2-0-3302067"/>
    <x v="0"/>
    <s v="EJECUTAR PROGRAMAS DE POSGRADO CON REGISTRO CALIFICADO VIGENTE"/>
    <s v="NO"/>
    <n v="0"/>
    <s v="N.A"/>
    <s v="GESTIÓN CONTRACTUAL"/>
    <s v="MARÍA OFELIA ROS MATTURRO"/>
    <n v="3422121"/>
    <s v="ofelia.ros@caroycuervo.gov.co"/>
    <s v="SANDRA DÍAZ"/>
    <s v="N.A"/>
    <s v="DIANA RAMÍREZ"/>
    <s v="DANIELA LEÓN"/>
    <s v="CINDY FLORIDO"/>
    <m/>
  </r>
  <r>
    <s v="86101710; 80111621 "/>
    <s v="ACADÉMICA"/>
    <s v="FACULTAD SEMINARIO ANDRÉS BELLO"/>
    <s v="FORMACIÓN"/>
    <s v="MAESTRÍA EN ENSEÑANZA DE ESPAÑOL COMO LENGUA EXTRANJERA Y SEGUNDA LENGUA"/>
    <s v="DOCENTE-INVESTIGADOR MAESTRÍA ELE/L2+DIRECTOR DE PROYECTO+CREACIÓN DE CONTENIDOS DE 2 CURSOS DE MAESTRÍA ELE/2 VIRTUAL"/>
    <n v="2"/>
    <n v="2"/>
    <n v="10"/>
    <n v="15"/>
    <s v="CONTRATACIÓN DIRECTA"/>
    <x v="0"/>
    <n v="58633906"/>
    <m/>
    <n v="58633906"/>
    <n v="5584181"/>
    <n v="2018011000290"/>
    <x v="0"/>
    <s v="C-3302-1603-2-0-3302067"/>
    <x v="0"/>
    <s v="EJECUTAR PROGRAMAS DE POSGRADO CON REGISTRO CALIFICADO VIGENTE"/>
    <s v="NO"/>
    <n v="0"/>
    <s v="N.A"/>
    <s v="GESTIÓN CONTRACTUAL"/>
    <s v="MARÍA OFELIA ROS MATTURRO"/>
    <n v="3422121"/>
    <s v="ofelia.ros@caroycuervo.gov.co"/>
    <s v="FERNEY CRUZ"/>
    <s v="N.A"/>
    <s v="DIANA RAMÍREZ"/>
    <s v="DANIELA LEÓN"/>
    <s v="CINDY FLORIDO"/>
    <m/>
  </r>
  <r>
    <n v="86101601"/>
    <s v="ACADÉMICA"/>
    <s v="FACULTAD SEMINARIO ANDRÉS BELLO"/>
    <s v="FORMACIÓN"/>
    <s v="MAESTRÍA EN ENSEÑANZA DE ESPAÑOL COMO LENGUA EXTRANJERA Y SEGUNDA LENGUA"/>
    <s v="DOCENTE-INVESTIGADOR MAESTRÍA ELE/L2+DIRECTOR DE PROYECTO+TUTORA DIPLOMADO ELE VIRTUAL (144 HORAS)+DOCENTE CURSO DE VERANO (10 HORAS)"/>
    <n v="2"/>
    <n v="2"/>
    <n v="10"/>
    <n v="15"/>
    <s v="CONTRATACIÓN DIRECTA"/>
    <x v="0"/>
    <n v="26454797"/>
    <n v="-3260760"/>
    <n v="23194037"/>
    <n v="2208955"/>
    <n v="2018011000290"/>
    <x v="0"/>
    <s v="C-3302-1603-2-0-3302067"/>
    <x v="0"/>
    <s v="EJECUTAR PROGRAMAS DE POSGRADO CON REGISTRO CALIFICADO VIGENTE"/>
    <s v="NO"/>
    <n v="0"/>
    <s v="N.A"/>
    <s v="GESTIÓN CONTRACTUAL"/>
    <s v="MARÍA OFELIA ROS MATTURRO"/>
    <n v="3422121"/>
    <s v="ofelia.ros@caroycuervo.gov.co"/>
    <s v="RUTH RUBIO"/>
    <s v="N.A"/>
    <s v="DIANA RAMÍREZ"/>
    <s v="DANIELA LEÓN"/>
    <s v="CINDY FLORIDO"/>
    <s v="Financiera reviso EP pero se valida con Planeación tiene un ajuste pendiente por aprobacion."/>
  </r>
  <r>
    <s v="86101710; 80111621 "/>
    <s v="ACADÉMICA"/>
    <s v="FACULTAD SEMINARIO ANDRÉS BELLO"/>
    <s v="FORMACIÓN"/>
    <s v="MAESTRÍA EN ENSEÑANZA DE ESPAÑOL COMO LENGUA EXTRANJERA Y SEGUNDA LENGUA"/>
    <s v="DOCENTE-INVESTIGADOR MAESTRÍA ELE/L2+DIRECTOR DE PROYECTO+TUTOR DIPLOMADO ICC-INSOR (50 HORAS)+CREACIÓN DE CONTENIDOS DE 1 CURSO DE MAESTRÍA ELE/2 VIRTUAL"/>
    <n v="2"/>
    <n v="2"/>
    <n v="10"/>
    <n v="15"/>
    <s v="CONTRATACIÓN DIRECTA"/>
    <x v="0"/>
    <n v="52035690"/>
    <m/>
    <n v="52035690"/>
    <n v="4955780"/>
    <n v="2018011000290"/>
    <x v="0"/>
    <s v="C-3302-1603-2-0-3302067"/>
    <x v="0"/>
    <s v="EJECUTAR PROGRAMAS DE POSGRADO CON REGISTRO CALIFICADO VIGENTE"/>
    <s v="NO"/>
    <n v="0"/>
    <s v="N.A"/>
    <s v="GESTIÓN CONTRACTUAL"/>
    <s v="MARÍA OFELIA ROS MATTURRO"/>
    <n v="3422121"/>
    <s v="ofelia.ros@caroycuervo.gov.co"/>
    <s v="ALEX GIOVANY BARRETO"/>
    <s v="N.A"/>
    <s v="DIANA RAMÍREZ"/>
    <s v="DANIELA LEÓN"/>
    <s v="CINDY FLORIDO"/>
    <m/>
  </r>
  <r>
    <s v="86101710; 80111621 "/>
    <s v="ACADÉMICA"/>
    <s v="FACULTAD SEMINARIO ANDRÉS BELLO"/>
    <s v="FORMACIÓN"/>
    <s v="MAESTRÍA EN ENSEÑANZA DE ESPAÑOL COMO LENGUA EXTRANJERA Y SEGUNDA LENGUA"/>
    <s v="DOCENTE-INVESTIGADOR MAESTRÍA ELE/L2+ COORDINADOR CURSOS DE ESPAÑOL PARA EXTRANJEROS+CURSO DE FORMACIÓN PRÁCTICA DE PROFESORES DE ELE (64 HORAS) +CURSO DOCENTE CURSO DE VERANO (10 HORAS)"/>
    <n v="1"/>
    <n v="1"/>
    <n v="11"/>
    <n v="0"/>
    <s v="CONTRATACIÓN DIRECTA"/>
    <x v="0"/>
    <n v="61457443"/>
    <m/>
    <n v="61457443"/>
    <n v="5587040"/>
    <n v="2018011000290"/>
    <x v="0"/>
    <s v="C-3302-1603-2-0-3302067"/>
    <x v="0"/>
    <s v="EJECUTAR PROGRAMAS DE POSGRADO CON REGISTRO CALIFICADO VIGENTE"/>
    <s v="NO"/>
    <n v="0"/>
    <s v="N.A"/>
    <s v="GESTIÓN CONTRACTUAL"/>
    <s v="MARÍA OFELIA ROS MATTURRO"/>
    <n v="3422121"/>
    <s v="ofelia.ros@caroycuervo.gov.co"/>
    <s v="LUZ DARY LEÓN"/>
    <s v="N.A"/>
    <s v="DIANA RAMÍREZ"/>
    <s v="DANIELA LEÓN"/>
    <s v="CINDY FLORIDO"/>
    <m/>
  </r>
  <r>
    <s v="86101710; 80111621 "/>
    <s v="ACADÉMICA"/>
    <s v="FACULTAD SEMINARIO ANDRÉS BELLO"/>
    <s v="FORMACIÓN"/>
    <s v="MAESTRÍA EN ENSEÑANZA DE ESPAÑOL COMO LENGUA EXTRANJERA Y SEGUNDA LENGUA"/>
    <s v="DOCENTE-INVESTIGADOR MAESTRIA ELE/L2+DIRECTOR DE PROYECTO+DOCENTE DIPLOMADO ELE REMOTO (30 HORAS POR 1 MÓDULO)+CREACIÓN DE CONTENIDOS DE 2 CURSOS DE MAESTRÍA ELE/2 VIRTUAL"/>
    <n v="2"/>
    <n v="2"/>
    <n v="10"/>
    <n v="15"/>
    <s v="CONTRATACIÓN DIRECTA"/>
    <x v="0"/>
    <n v="46785690"/>
    <m/>
    <n v="46785690"/>
    <n v="4455780"/>
    <n v="2018011000290"/>
    <x v="0"/>
    <s v="C-3302-1603-2-0-3302067"/>
    <x v="0"/>
    <s v="EJECUTAR PROGRAMAS DE POSGRADO CON REGISTRO CALIFICADO VIGENTE"/>
    <s v="NO"/>
    <n v="0"/>
    <s v="N.A"/>
    <s v="GESTIÓN CONTRACTUAL"/>
    <s v="MARÍA OFELIA ROS MATTURRO"/>
    <n v="3422121"/>
    <s v="ofelia.ros@caroycuervo.gov.co"/>
    <s v="ANDREA BAQUERO"/>
    <s v="N.A"/>
    <s v="DIANA RAMÍREZ"/>
    <s v="DANIELA LEÓN"/>
    <s v="CINDY FLORIDO"/>
    <m/>
  </r>
  <r>
    <n v="86101710"/>
    <s v="ACADÉMICA"/>
    <s v="FACULTAD SEMINARIO ANDRÉS BELLO"/>
    <s v="FORMACIÓN"/>
    <s v="MAESTRÍA EN ENSEÑANZA DE ESPAÑOL COMO LENGUA EXTRANJERA Y SEGUNDA LENGUA"/>
    <s v="DOCENTE-INVESTIGADOR MAESTRIA ELE/L2+DIRECTOR DE PROYECTO+CREACIÓN DE CONTENIDOS DE 1 CURSO DE MAESTRÍA ELE/2 VIRTUAL"/>
    <n v="2"/>
    <n v="2"/>
    <n v="10"/>
    <n v="15"/>
    <s v="CONTRATACIÓN DIRECTA"/>
    <x v="0"/>
    <n v="29871414"/>
    <n v="-7360555"/>
    <n v="22510859"/>
    <n v="2143891"/>
    <n v="2018011000290"/>
    <x v="0"/>
    <s v="C-3302-1603-2-0-3302067"/>
    <x v="0"/>
    <s v="EJECUTAR PROGRAMAS DE POSGRADO CON REGISTRO CALIFICADO VIGENTE"/>
    <s v="NO"/>
    <n v="0"/>
    <s v="N.A"/>
    <s v="GESTIÓN CONTRACTUAL"/>
    <s v="MARÍA OFELIA ROS MATTURRO"/>
    <n v="3422121"/>
    <s v="ofelia.ros@caroycuervo.gov.co"/>
    <s v="ANGELICA MEZA"/>
    <s v="N.A"/>
    <s v="DIANA RAMÍREZ"/>
    <s v="DANIELA LEÓN"/>
    <s v="CINDY FLORIDO"/>
    <s v="Financiera reviso EP pero se valida con Planeación tiene un ajuste pendiente por aprobacion."/>
  </r>
  <r>
    <n v="81111820"/>
    <s v="ACADÉMICA"/>
    <s v="FACULTAD SEMINARIO ANDRÉS BELLO"/>
    <s v="FORMACIÓN"/>
    <s v="FACULTAD"/>
    <s v="CONTRATACIÓN PARA PRESTAR LOS SERVICIOS PROFESIONALES PARA EL APOYO A LA ADMINISTRACIÓN DE LA PLATAFORMA DE GESTIÓN ACADÉMICA DE LA FACULTAD SEMINARIO ANDRÉS BELLO"/>
    <n v="1"/>
    <n v="1"/>
    <n v="11"/>
    <n v="15"/>
    <s v="CONTRATACIÓN DIRECTA"/>
    <x v="0"/>
    <n v="41046073"/>
    <m/>
    <n v="41046073"/>
    <n v="4986230"/>
    <n v="2018011000284"/>
    <x v="2"/>
    <s v="C-3399-1603-4-0-3399061"/>
    <x v="9"/>
    <s v=" ADAPTAR EL MODELO INTEGRADO DE PLANEACIÓN Y GESTIÓN AL INSTITUTO "/>
    <s v="NO"/>
    <n v="0"/>
    <s v="N.A"/>
    <s v="GESTIÓN CONTRACTUAL"/>
    <s v="MARÍA OFELIA ROS MATTURRO"/>
    <n v="3422121"/>
    <s v="ofelia.ros@caroycuervo.gov.co"/>
    <s v="NELSON PINZÓN"/>
    <s v="N.A"/>
    <s v="DIANA RAMÍREZ"/>
    <s v="DANIELA LEÓN"/>
    <s v="MARCELA GUALTEROS"/>
    <m/>
  </r>
  <r>
    <n v="81111820"/>
    <s v="ACADÉMICA"/>
    <s v="FACULTAD SEMINARIO ANDRÉS BELLO"/>
    <s v="FORMACIÓN"/>
    <s v="FACULTAD"/>
    <s v="CONTRATACIÓN PARA PRESTAR LOS SERVICIOS PROFESIONALES PARA EL APOYO A LA ADMINISTRACIÓN DE LA PLATAFORMA DE GESTIÓN ACADÉMICA DE LA FACULTAD SEMINARIO ANDRÉS BELLO"/>
    <n v="1"/>
    <n v="1"/>
    <n v="11"/>
    <n v="15"/>
    <s v="CONTRATACIÓN DIRECTA"/>
    <x v="0"/>
    <n v="16295572"/>
    <m/>
    <n v="16295572"/>
    <m/>
    <n v="2018011000290"/>
    <x v="0"/>
    <s v="C-3302-1603-2-0-3302067"/>
    <x v="0"/>
    <s v="EJECUTAR PROGRAMAS DE POSGRADO CON REGISTRO CALIFICADO VIGENTE"/>
    <s v="NO"/>
    <n v="0"/>
    <s v="N.A"/>
    <s v="GESTIÓN CONTRACTUAL"/>
    <s v="MARÍA OFELIA ROS MATTURRO"/>
    <n v="3422121"/>
    <s v="ofelia.ros@caroycuervo.gov.co"/>
    <s v="NELSON PINZÓN"/>
    <s v="N.A"/>
    <s v="DIANA RAMÍREZ"/>
    <s v="DANIELA LEÓN"/>
    <s v="MARCELA GUALTEROS"/>
    <m/>
  </r>
  <r>
    <n v="86141501"/>
    <s v="ACADÉMICA"/>
    <s v="FACULTAD SEMINARIO ANDRÉS BELLO"/>
    <s v="FORMACIÓN"/>
    <s v="FACULTAD"/>
    <s v="CONTRATACIÓN DE UN PROFESIONAL PARA EL ASEGURAMIENTO DE LA CALIDAD DE LOS PROGRAMAS DE POSGRADO DE LA FACULTAD SEMINARIO ANDRÉS BELLO DEL INSTITUTO CARO Y CUERVO, ANTE EL MINISTERIO DE EDUCACIÓN NACIONAL"/>
    <n v="2"/>
    <n v="2"/>
    <n v="10"/>
    <n v="15"/>
    <s v="CONTRATACIÓN DIRECTA"/>
    <x v="0"/>
    <n v="65252480"/>
    <n v="-4378685"/>
    <n v="60873795"/>
    <n v="6214521"/>
    <n v="2018011000290"/>
    <x v="0"/>
    <s v="C-3302-1603-2-0-3302067"/>
    <x v="0"/>
    <s v="EJECUTAR PROGRAMAS DE POSGRADO CON REGISTRO CALIFICADO VIGENTE"/>
    <s v="NO"/>
    <n v="0"/>
    <s v="N.A"/>
    <s v="GESTIÓN CONTRACTUAL"/>
    <s v="MARÍA OFELIA ROS MATTURRO"/>
    <n v="3422121"/>
    <s v="ofelia.ros@caroycuervo.gov.co"/>
    <s v="PATRICIA REYES/CARMEN CAMACHO"/>
    <s v="N.A"/>
    <s v="DIANA RAMÍREZ"/>
    <s v="DANIELA LEÓN"/>
    <m/>
    <m/>
  </r>
  <r>
    <n v="86101710"/>
    <s v="ACADÉMICA"/>
    <s v="FACULTAD SEMINARIO ANDRÉS BELLO"/>
    <s v="FORMACIÓN"/>
    <s v="MAESTRÍA EN ENSEÑANZA DE ESPAÑOL COMO LENGUA EXTRANJERA Y SEGUNDA LENGUA"/>
    <s v="COORDINADORA E-LEARNING DE LA MAESTRÍA EN ENSEÑANZA DE ESPAÑOL COMO LENGUA EXTRANJERA Y SEGUNDA LENGUA "/>
    <n v="2"/>
    <n v="2"/>
    <n v="3"/>
    <n v="0"/>
    <s v="CONTRATACIÓN DIRECTA"/>
    <x v="0"/>
    <n v="0"/>
    <n v="15000000"/>
    <n v="15000000"/>
    <m/>
    <n v="2018011000290"/>
    <x v="0"/>
    <s v="C-3302-1603-2-0-3302067"/>
    <x v="0"/>
    <s v="EJECUTAR PROGRAMAS DE POSGRADO CON REGISTRO CALIFICADO VIGENTE"/>
    <s v="NO"/>
    <n v="0"/>
    <s v="N.A"/>
    <s v="GESTIÓN CONTRACTUAL"/>
    <s v="MARÍA OFELIA ROS MATTURRO"/>
    <n v="3422121"/>
    <s v="ofelia.ros@caroycuervo.gov.co"/>
    <m/>
    <s v="N.A"/>
    <m/>
    <m/>
    <m/>
    <m/>
  </r>
  <r>
    <n v="78111503"/>
    <s v="ACADÉMICA"/>
    <s v="FACULTAD SEMINARIO ANDRÉS BELLO"/>
    <s v="FORMACIÓN"/>
    <s v="FACULTAD"/>
    <s v="MOVILIDAD DECANATURA LASA 2022"/>
    <n v="2"/>
    <n v="2"/>
    <n v="1"/>
    <n v="0"/>
    <s v="CONTRATACIÓN DIRECTA"/>
    <x v="1"/>
    <n v="6000000"/>
    <m/>
    <n v="6000000"/>
    <m/>
    <n v="2018011000290"/>
    <x v="0"/>
    <s v="C-3302-1603-2-0-3302070"/>
    <x v="1"/>
    <s v="REALIZAR ACTIVIDADES DE CONSOLIDACIÓN ACADÉMICA"/>
    <s v="NO"/>
    <n v="0"/>
    <s v="N.A"/>
    <s v="GESTIÓN CONTRACTUAL"/>
    <s v="MARÍA OFELIA ROS MATTURRO"/>
    <n v="3422121"/>
    <s v="ofelia.ros@caroycuervo.gov.co"/>
    <s v="N.A"/>
    <s v="N.A"/>
    <m/>
    <m/>
    <m/>
    <m/>
  </r>
  <r>
    <s v="93141506; 86141501"/>
    <s v="ACADÉMICA"/>
    <s v="FACULTAD SEMINARIO ANDRÉS BELLO"/>
    <s v="FORMACIÓN"/>
    <s v="BIENESTAR"/>
    <s v="CONTRATACIÓN PARA LA PRESTACIÓN DE SERVICIOS PROFESIONALES PARA EL APOYO A LA COORDINACIÓN DE LOS PROGRAMAS DE EGRESADOS Y BIENESTAR UNIVERSITARIO, DE LA FACULTAD SEMINARIO ANDRÉS BELLO DEL INSTITUTO CARO Y CUERVO"/>
    <n v="1"/>
    <n v="1"/>
    <n v="11"/>
    <n v="0"/>
    <s v="CONTRATACIÓN DIRECTA"/>
    <x v="0"/>
    <n v="65252484"/>
    <m/>
    <n v="65252484"/>
    <n v="5932044"/>
    <n v="2018011000290"/>
    <x v="0"/>
    <s v="C-3302-1603-2-0-3302067"/>
    <x v="0"/>
    <s v="EJECUTAR PROGRAMAS DE POSGRADO CON REGISTRO CALIFICADO VIGENTE"/>
    <s v="NO"/>
    <n v="0"/>
    <s v="N.A"/>
    <s v="GESTIÓN CONTRACTUAL"/>
    <s v="MARÍA OFELIA ROS MATTURRO"/>
    <n v="3422121"/>
    <s v="ofelia.ros@caroycuervo.gov.co"/>
    <s v="ROSSY LIZCANO"/>
    <s v="N.A"/>
    <s v="DIANA RAMÍREZ"/>
    <s v="DANIELA LEÓN"/>
    <s v="MARCELA GUALTEROS"/>
    <m/>
  </r>
  <r>
    <n v="85121608"/>
    <s v="ACADÉMICA"/>
    <s v="FACULTAD SEMINARIO ANDRÉS BELLO"/>
    <s v="FORMACIÓN"/>
    <s v="BIENESTAR"/>
    <s v="SERVICIO PSICOLÓGICO FACULTAD + 2 TALLERES BIENESTAR EMOCIONAL (DESARROLLO HUMANO)"/>
    <n v="2"/>
    <n v="2"/>
    <n v="10"/>
    <n v="0"/>
    <s v="CONTRATACIÓN DIRECTA"/>
    <x v="0"/>
    <n v="42408190"/>
    <m/>
    <n v="42408190"/>
    <n v="4240819"/>
    <n v="2018011000290"/>
    <x v="0"/>
    <s v="C-3302-1603-2-0-3302067"/>
    <x v="0"/>
    <s v="EJECUTAR PROGRAMAS DE POSGRADO CON REGISTRO CALIFICADO VIGENTE"/>
    <s v="NO"/>
    <n v="0"/>
    <s v="N.A"/>
    <s v="GESTIÓN CONTRACTUAL"/>
    <s v="MARÍA OFELIA ROS MATTURRO"/>
    <n v="3422121"/>
    <s v="ofelia.ros@caroycuervo.gov.co"/>
    <s v="ADRIANA BORRAY"/>
    <s v="N.A"/>
    <s v="DIANA RAMÍREZ"/>
    <s v="DANIELA LEÓN"/>
    <s v="MARCELA GUALTEROS"/>
    <m/>
  </r>
  <r>
    <n v="86101600"/>
    <s v="ACADÉMICA"/>
    <s v="FACULTAD SEMINARIO ANDRÉS BELLO"/>
    <s v="FORMACIÓN"/>
    <s v="BIENESTAR"/>
    <s v="SEGURO ESTUDIANTIL (ATENCIÓN Y PREVENCIÓN EN SALUD)"/>
    <n v="2"/>
    <n v="2"/>
    <n v="11"/>
    <n v="0"/>
    <s v="CONTRATACIÓN DIRECTA"/>
    <x v="1"/>
    <n v="4000000"/>
    <m/>
    <n v="4000000"/>
    <m/>
    <n v="2018011000290"/>
    <x v="0"/>
    <s v="C-3302-1603-2-0-3302067"/>
    <x v="0"/>
    <s v="EJECUTAR PROGRAMAS DE POSGRADO CON REGISTRO CALIFICADO VIGENTE"/>
    <s v="NO"/>
    <n v="0"/>
    <s v="N.A"/>
    <s v="GESTIÓN CONTRACTUAL"/>
    <s v="MARÍA OFELIA ROS MATTURRO"/>
    <n v="3422121"/>
    <s v="ofelia.ros@caroycuervo.gov.co"/>
    <s v="N.A"/>
    <s v="N.A"/>
    <m/>
    <m/>
    <m/>
    <m/>
  </r>
  <r>
    <n v="80101507"/>
    <s v="DIRECCIÓN GENERAL"/>
    <s v="GRUPO DE PLANEACIÓN"/>
    <s v="DIRECCIONAMIENTO ESTRATÉGICO"/>
    <s v="OFICIAL DE SEGURIDAD DE LA INFORMACIÓN"/>
    <s v="CONTRATACIÓN PARA LA PRESTACIÓN DE SERVICIOS PROFESIONALES EN EL GRUPO DE PLANEACIÓN  PARA LA ORIENTACIÓN E IMPLEMENTACIÓN DEL MODELO DE SEGURIDAD Y PRIVACIDAD DE LA INFORMACIÓN (MSPI) ALINEADO CON EL MARCO DE REFERENCIA DE ARQUITECTURA TI Y EL MODELO INTEGRADO DE PLANEACIÓN Y GESTIÓN (MIPG)"/>
    <n v="1"/>
    <n v="1"/>
    <n v="11"/>
    <n v="0"/>
    <s v="CONTRATACIÓN DIRECTA"/>
    <x v="0"/>
    <n v="45000000"/>
    <m/>
    <n v="45000000"/>
    <m/>
    <n v="2018011000284"/>
    <x v="2"/>
    <s v="C-3399-1603-4-0-3399056"/>
    <x v="8"/>
    <s v=" DISEÑAR HERRAMIENTAS PARA ORIENTAR LA PLANEACIÓN INSTITUCIONAL "/>
    <s v="NO"/>
    <n v="0"/>
    <s v="N.A"/>
    <s v="GESTIÓN CONTRACTUAL"/>
    <s v="CRISTIAN ARMANDO VELANDIA "/>
    <n v="3422121"/>
    <s v="cristian.velandia@caroycuervo.gov.co"/>
    <s v="N.A"/>
    <s v="CAMBIO EL PLAZO EN MESES ANTES ERA 10,5 AHORA ES 11 MESES"/>
    <m/>
    <s v="GERMÁN BOLAÑOS"/>
    <m/>
    <m/>
  </r>
  <r>
    <n v="80101508"/>
    <s v="DIRECCIÓN GENERAL"/>
    <s v="GRUPO DE PLANEACIÓN"/>
    <s v="DIRECCIONAMIENTO ESTRATÉGICO"/>
    <s v="METODOLOGIAS DE PLANEACIÓN INSTITUCIONAL"/>
    <s v="CONTRATACIÓN PARA LA PRESTACIÓN DE SERVICIOS PROFESIONALES EN EL GRUPO DE PLANEACIÓN  PARA LA ORIENTACIÓN E IMPLEMENTACIÓN DE  LOS INDICADORES DE GESTIÓN Y EN EL GRUPO DE LAS TIC PARA EL DESARROLLO DE LA POLÍTICA DE GOBIERNO DIGITAL"/>
    <n v="1"/>
    <n v="1"/>
    <n v="10"/>
    <n v="15"/>
    <s v="CONTRATACIÓN DIRECTA"/>
    <x v="0"/>
    <n v="9000000"/>
    <m/>
    <n v="9000000"/>
    <n v="3904761"/>
    <n v="2018011000284"/>
    <x v="2"/>
    <s v="C-3399-1603-4-0-3399061"/>
    <x v="9"/>
    <s v=" ADAPTAR EL MODELO INTEGRADO DE PLANEACIÓN Y GESTIÓN AL INSTITUTO "/>
    <s v="NO"/>
    <n v="0"/>
    <s v="N.A"/>
    <s v="GESTIÓN CONTRACTUAL"/>
    <s v="CRISTIAN ARMANDO VELANDIA - HEILIN GUARNIZO"/>
    <n v="3422121"/>
    <s v="cristian.velandia@caroycuervo.gov.co; heilin.guarnizo@caroycuervo.gov.co"/>
    <s v="YAMITH GARCÍA"/>
    <m/>
    <s v="CRISTIAN VELANDIA"/>
    <s v="GERMÁN BOLAÑOS"/>
    <s v="LINA ROCHA"/>
    <m/>
  </r>
  <r>
    <n v="80101508"/>
    <s v="DIRECCIÓN GENERAL"/>
    <s v="GRUPO DE PLANEACIÓN"/>
    <s v="DIRECCIONAMIENTO ESTRATÉGICO"/>
    <s v="METODOLOGIAS DE PLANEACIÓN INSTITUCIONAL"/>
    <s v="CONTRATACIÓN PARA LA PRESTACIÓN DE SERVICIOS PROFESIONALES EN EL GRUPO DE PLANEACIÓN  PARA LA ORIENTACIÓN E IMPLEMENTACIÓN DE  LOS INDICADORES DE GESTIÓN Y EN EL GRUPO DE LAS TIC PARA EL DESARROLLO DE LA POLÍTICA DE GOBIERNO DIGITAL"/>
    <n v="1"/>
    <n v="1"/>
    <n v="10"/>
    <n v="15"/>
    <s v="CONTRATACIÓN DIRECTA"/>
    <x v="0"/>
    <n v="23140526"/>
    <m/>
    <n v="23140526"/>
    <n v="3904761"/>
    <n v="2018011000290"/>
    <x v="0"/>
    <s v="C-3302-1603-2-0-3302070"/>
    <x v="1"/>
    <s v="REALIZAR ACTIVIDADES DE CONSOLIDACIÓN ACADÉMICA"/>
    <s v="NO"/>
    <n v="0"/>
    <s v="N.A"/>
    <s v="GESTIÓN CONTRACTUAL"/>
    <s v="CRISTIAN ARMANDO VELANDIA - HEILIN GUARNIZO"/>
    <n v="3422121"/>
    <s v="cristian.velandia@caroycuervo.gov.co; heilin.guarnizo@caroycuervo.gov.co"/>
    <s v="YAMITH GARCÍA"/>
    <s v="ESTA NECESIDAD CAMBIA PLAZO A 10 MESES Y 15 DIAS TRAE RECURSOS POR $32.000.000 DEL RUBRO TIC NECESIDAD &quot;PRESTACIÓN DE SERVICIOS PROFESIONALES PARA DISEÑO, MANTENIMIENTO Y CREACIÓN DE MATERIAL GRÁFICO DE LOS SITIOS WEB Y LA IMAGEN DIGITAL DEL ICC&quot; REPARTIDA EN 23140526 Y 8859474 Y "/>
    <s v="CRISTIAN VELANDIA"/>
    <s v="GERMÁN BOLAÑOS"/>
    <s v="LINA ROCHA"/>
    <m/>
  </r>
  <r>
    <n v="80101508"/>
    <s v="DIRECCIÓN GENERAL"/>
    <s v="GRUPO DE PLANEACIÓN"/>
    <s v="DIRECCIONAMIENTO ESTRATÉGICO"/>
    <s v="METODOLOGIAS DE PLANEACIÓN INSTITUCIONAL"/>
    <s v="CONTRATACIÓN PARA LA PRESTACIÓN DE SERVICIOS PROFESIONALES EN EL GRUPO DE PLANEACIÓN  PARA LA ORIENTACIÓN E IMPLEMENTACIÓN DE  LOS INDICADORES DE GESTIÓN Y EN EL GRUPO DE LAS TIC PARA EL DESARROLLO DE LA POLÍTICA DE GOBIERNO DIGITAL"/>
    <n v="1"/>
    <n v="1"/>
    <n v="10"/>
    <n v="15"/>
    <s v="CONTRATACIÓN DIRECTA"/>
    <x v="0"/>
    <n v="8859474"/>
    <m/>
    <n v="8859474"/>
    <n v="3904761"/>
    <n v="2018011000284"/>
    <x v="2"/>
    <s v="C-3399-1603-4-0-3399061"/>
    <x v="9"/>
    <s v=" ADAPTAR EL MODELO INTEGRADO DE PLANEACIÓN Y GESTIÓN AL INSTITUTO "/>
    <s v="NO"/>
    <n v="0"/>
    <s v="N.A"/>
    <s v="GESTIÓN CONTRACTUAL"/>
    <s v="CRISTIAN ARMANDO VELANDIA - HEILIN GUARNIZO"/>
    <n v="3422121"/>
    <s v="cristian.velandia@caroycuervo.gov.co; heilin.guarnizo@caroycuervo.gov.co"/>
    <s v="YAMITH GARCÍA"/>
    <s v="ESTA NECESIDAD CAMBIA PLAZO A 10 MESES Y 15 DIAS TRAE RECURSOS POR $32.000.000 DEL RUBRO TIC NECESIDAD &quot;PRESTACIÓN DE SERVICIOS PROFESIONALES PARA DISEÑO, MANTENIMIENTO Y CREACIÓN DE MATERIAL GRÁFICO DE LOS SITIOS WEB Y LA IMAGEN DIGITAL DEL ICC&quot; REPARTIDA EN 23140526 Y 8859474 Y "/>
    <s v="CRISTIAN VELANDIA"/>
    <s v="GERMÁN BOLAÑOS"/>
    <s v="LINA ROCHA"/>
    <m/>
  </r>
  <r>
    <s v="77101700; 80101604; 80101509"/>
    <s v="DIRECCIÓN GENERAL"/>
    <s v="DIRECCIÓN GENERAL"/>
    <s v="GESTIÓN ADMINISTRATIVA"/>
    <s v="PIGA - PEMP"/>
    <s v="PRESTAR LOS SERVICIOS PROFESIONALES PARA EJECUTAR EL PLAN INSTITUCIONAL DE GESTIÓN AMBIENTAL –PIGA- Y SOCIALIZAR LA GESTIÓN DEL PLAN DE MANEJO Y PROTECCIÓN –PEMP- DE LA HACIENDA YERBABUENA"/>
    <n v="1"/>
    <n v="1"/>
    <n v="7"/>
    <n v="1"/>
    <s v="CONTRATACIÓN DIRECTA"/>
    <x v="1"/>
    <n v="23104109"/>
    <m/>
    <n v="23104109"/>
    <m/>
    <n v="2018011000284"/>
    <x v="2"/>
    <s v="C-3399-1603-4-0-3399016"/>
    <x v="5"/>
    <s v=" REALIZAR MANTENIMIENTO A ELEMENTOS NO ESTRUCTURALES DE LAS SEDES "/>
    <s v="NO"/>
    <n v="0"/>
    <s v="N.A"/>
    <s v="GESTIÓN CONTRACTUAL"/>
    <s v="MARÍA DEL ROSARIO BARROS PIMIENTA / ANDREA CARDOZO"/>
    <n v="3422121"/>
    <s v="rosario.barros@caroycuervo.gov.co"/>
    <s v="ANDREA CARDOZO"/>
    <m/>
    <s v="DIANA RAMÍREZ"/>
    <s v="DANIELA LEÓN"/>
    <s v="MARCELA GUALTEROS"/>
    <m/>
  </r>
  <r>
    <s v="77101700; 80101604; 80101510"/>
    <s v="DIRECCIÓN GENERAL"/>
    <s v="DIRECCIÓN GENERAL"/>
    <s v="GESTIÓN ADMINISTRATIVA"/>
    <s v="PIGA - PEMP"/>
    <s v="PRESTAR LOS SERVICIOS PROFESIONALES PARA EJECUTAR EL PLAN INSTITUCIONAL DE GESTIÓN AMBIENTAL –PIGA- Y SOCIALIZAR LA GESTIÓN DEL PLAN DE MANEJO Y PROTECCIÓN –PEMP- DE LA HACIENDA YERBABUENA"/>
    <n v="1"/>
    <n v="1"/>
    <n v="7"/>
    <n v="1"/>
    <s v="CONTRATACIÓN DIRECTA"/>
    <x v="0"/>
    <n v="25895891"/>
    <m/>
    <n v="25895891"/>
    <n v="7000000"/>
    <n v="2018011000284"/>
    <x v="2"/>
    <s v="C-3399-1603-4-0-3399016"/>
    <x v="5"/>
    <s v=" REALIZAR MANTENIMIENTO A ELEMENTOS NO ESTRUCTURALES DE LAS SEDES "/>
    <s v="NO"/>
    <n v="0"/>
    <s v="N.A"/>
    <s v="GESTIÓN CONTRACTUAL"/>
    <s v="MARÍA DEL ROSARIO BARROS PIMIENTA / ANDREA CARDOZO"/>
    <n v="3422121"/>
    <s v="rosario.barros@caroycuervo.gov.co"/>
    <s v="ANDREA CARDOZO"/>
    <m/>
    <s v="DIANA RAMÍREZ"/>
    <s v="DANIELA LEÓN"/>
    <s v="MARCELA GUALTEROS"/>
    <m/>
  </r>
  <r>
    <n v="81112307"/>
    <s v="DIRECCIÓN GENERAL"/>
    <s v="GRUPO DE TECNOLOGÍAS DE LA INFORMACIÓN"/>
    <s v="GESTIÓN DE TECNOLOGÍAS DE LA INFORMACIÓN Y LAS COMUNICACIONES"/>
    <s v="MANTENIMIENTO Y SOPORTE DE HARDWARE DE COMPUTADOR"/>
    <s v="CONTRATACION DE UN TECNÓLOGO EN SISTEMAS O AFINES PARA EL DESARROLLO DE ACTIVIDADES RELACIONADAS CON SOPORTE TÉCNICO, SOPORTE TECNOLÓGICO A USUARIOS, SISTEMAS DE INFORMACIÓN Y EQUIPOS DEL INSTITUTO CARO Y CUERVO"/>
    <n v="1"/>
    <n v="1"/>
    <n v="10"/>
    <n v="0"/>
    <s v="CONTRATACIÓN DIRECTA"/>
    <x v="0"/>
    <n v="22278900"/>
    <m/>
    <n v="22278900"/>
    <n v="2227890"/>
    <n v="2018011000284"/>
    <x v="2"/>
    <s v="C-3399-1603-4-0-3399061"/>
    <x v="9"/>
    <s v=" ADAPTAR EL MODELO INTEGRADO DE PLANEACIÓN Y GESTIÓN AL INSTITUTO "/>
    <s v="NO"/>
    <n v="0"/>
    <s v="N.A"/>
    <s v="GESTIÓN CONTRACTUAL"/>
    <s v="JULIO BERNAL"/>
    <n v="3422121"/>
    <s v="heilin.guarnizo@caroycuervo.gov.co"/>
    <s v="ANDREA PAOLA PULIDO SANTIAGO"/>
    <m/>
    <s v="DIANA RAMÍREZ"/>
    <s v="DANIELA LEÓN"/>
    <m/>
    <m/>
  </r>
  <r>
    <n v="81112307"/>
    <s v="DIRECCIÓN GENERAL"/>
    <s v="GRUPO DE TECNOLOGÍAS DE LA INFORMACIÓN"/>
    <s v="GESTIÓN DE TECNOLOGÍAS DE LA INFORMACIÓN Y LAS COMUNICACIONES"/>
    <s v="MANTENIMIENTO Y SOPORTE DE HARDWARE DE COMPUTADOR"/>
    <s v="CONTRATACION DE UN TECNÓLOGO EN SISTEMAS O AFINES PARA EL DESARROLLO DE ACTIVIDADES RELACIONADAS CON SOPORTE TÉCNICO, SOPORTE TECNOLÓGICO A USUARIOS, SISTEMAS DE INFORMACIÓN Y EQUIPOS DEL INSTITUTO CARO Y CUERVO"/>
    <n v="1"/>
    <n v="1"/>
    <n v="10"/>
    <n v="0"/>
    <s v="CONTRATACIÓN DIRECTA"/>
    <x v="0"/>
    <n v="22278900"/>
    <m/>
    <n v="22278900"/>
    <n v="2227890"/>
    <n v="2018011000284"/>
    <x v="2"/>
    <s v="C-3399-1603-4-0-3399061"/>
    <x v="9"/>
    <s v=" ADAPTAR EL MODELO INTEGRADO DE PLANEACIÓN Y GESTIÓN AL INSTITUTO "/>
    <s v="NO"/>
    <n v="0"/>
    <s v="N.A"/>
    <s v="GESTIÓN CONTRACTUAL"/>
    <s v="HEILIN GUARNIZO"/>
    <n v="3422121"/>
    <s v="heilin.guarnizo@caroycuervo.gov.co"/>
    <s v="GEOVANNY ACEVEDO"/>
    <m/>
    <s v="DIANA RAMÍREZ"/>
    <s v="DANIELA LEÓN"/>
    <m/>
    <m/>
  </r>
  <r>
    <s v="81111603; 81111602; 81111507"/>
    <s v="DIRECCIÓN GENERAL"/>
    <s v="GRUPO DE TECNOLOGÍAS DE LA INFORMACIÓN"/>
    <s v="GESTIÓN DE TECNOLOGÍAS DE LA INFORMACIÓN Y LAS COMUNICACIONES"/>
    <s v="PROGRAMADORES DE COMPUTADOR"/>
    <s v="CONTRATACIÓN DE UN TÉCNICO O TECNÓLOGO EN SISTEMAS O AFINES PARA APOYAR EL DESARROLLO DE NUEVOS SISTEMAS DE BASE DE DATOS DE LA ENTIDAD, APOYO EN LA PARTE MISIONAL Y ESTRATÉGICO DEL INSTITUTO CARO Y CUERVO"/>
    <n v="1"/>
    <n v="1"/>
    <n v="11"/>
    <n v="0"/>
    <s v="CONTRATACIÓN DIRECTA"/>
    <x v="0"/>
    <n v="40356184"/>
    <m/>
    <n v="40356184"/>
    <n v="3668744"/>
    <n v="2018011000284"/>
    <x v="2"/>
    <s v="C-3399-1603-4-0-3399061"/>
    <x v="9"/>
    <s v=" ADAPTAR EL MODELO INTEGRADO DE PLANEACIÓN Y GESTIÓN AL INSTITUTO "/>
    <s v="NO"/>
    <n v="0"/>
    <s v="N.A"/>
    <s v="GESTIÓN CONTRACTUAL"/>
    <s v="HEILIN GUARNIZO"/>
    <n v="3422121"/>
    <s v="heilin.guarnizo@caroycuervo.gov.co"/>
    <s v="JUAN DIEGO ZAMBRANO BENAVIDES"/>
    <m/>
    <s v="DIANA RAMÍREZ"/>
    <s v="DANIELA LEÓN"/>
    <s v="LINA ROCHA"/>
    <m/>
  </r>
  <r>
    <n v="81111603"/>
    <s v="DIRECCIÓN GENERAL"/>
    <s v="GRUPO DE TECNOLOGÍAS DE LA INFORMACIÓN"/>
    <s v="GESTIÓN DE TECNOLOGÍAS DE LA INFORMACIÓN Y LAS COMUNICACIONES"/>
    <s v="PROGRAMADORES DE COMPUTADOR"/>
    <s v="CONTRATACIÓN DE UN TECNÓLOGO DE SISTEMAS PARA EL DESARROLLO DE PLATAFORMAS WEB NUEVAS Y EXISTENTES DEL INSTITUTO CARO Y CUERVO Y LAS PLATAFORMAS DE LAS LÍNEAS DE LINGÜÍSTICA DE CORPUS Y COMPUTACIONAL"/>
    <n v="1"/>
    <n v="1"/>
    <n v="10"/>
    <n v="0"/>
    <s v="CONTRATACIÓN DIRECTA"/>
    <x v="0"/>
    <n v="19927757"/>
    <m/>
    <n v="19927757"/>
    <m/>
    <n v="2018011000284"/>
    <x v="2"/>
    <s v="C-3399-1603-4-0-3399061"/>
    <x v="9"/>
    <s v=" ADAPTAR EL MODELO INTEGRADO DE PLANEACIÓN Y GESTIÓN AL INSTITUTO "/>
    <s v="NO"/>
    <n v="0"/>
    <s v="N.A"/>
    <s v="GESTIÓN CONTRACTUAL"/>
    <s v="HEILIN GUARNIZO"/>
    <n v="3422121"/>
    <s v="heilin.guarnizo@caroycuervo.gov.co"/>
    <s v="ANDRES STEBAN LUNA"/>
    <s v="UNIFICAR;"/>
    <s v="CRISTIAN VELANDIA"/>
    <m/>
    <m/>
    <s v="HAY 2 ARCHIVOS DE EP. UNIFICAR EP"/>
  </r>
  <r>
    <s v="82141505; 82141504"/>
    <s v="DIRECCIÓN GENERAL"/>
    <s v="GRUPO DE TECNOLOGÍAS DE LA INFORMACIÓN"/>
    <s v="GESTIÓN DE TECNOLOGÍAS DE LA INFORMACIÓN Y LAS COMUNICACIONES"/>
    <s v="PROGRAMADORES DE COMPUTADOR"/>
    <s v="CONTRATACIÓN PARA PRESTAR LOS SERVICIOS PROFESIONALES EN EL REDISEÑO, CONFIGURACIÓN DE MÓDULOS, PLUGINS Y CÓDIGO DE LA PÁGINA WEB Y MICROSITIOS DEL INSTITUTO CARO Y CUERVO"/>
    <n v="1"/>
    <n v="1"/>
    <n v="10"/>
    <n v="0"/>
    <s v="CONTRATACIÓN DIRECTA"/>
    <x v="0"/>
    <n v="39000000"/>
    <m/>
    <n v="39000000"/>
    <n v="3900000"/>
    <n v="2018011000284"/>
    <x v="2"/>
    <s v="C-3399-1603-4-0-3399061"/>
    <x v="9"/>
    <s v=" ADAPTAR EL MODELO INTEGRADO DE PLANEACIÓN Y GESTIÓN AL INSTITUTO "/>
    <s v="NO"/>
    <n v="0"/>
    <s v="N.A"/>
    <s v="GESTIÓN CONTRACTUAL"/>
    <s v="HEILIN GUARNIZO"/>
    <n v="3422121"/>
    <s v="heilin.guarnizo@caroycuervo.gov.co"/>
    <s v="VERÓNICA BORGES CELIN"/>
    <m/>
    <s v="DIANA RAMÍREZ"/>
    <s v="DANIELA LEÓN"/>
    <s v="LINA ROCHA"/>
    <m/>
  </r>
  <r>
    <n v="81111802"/>
    <s v="DIRECCIÓN GENERAL"/>
    <s v="GRUPO DE TECNOLOGÍAS DE LA INFORMACIÓN"/>
    <s v="GESTIÓN DE TECNOLOGÍAS DE LA INFORMACIÓN Y LAS COMUNICACIONES"/>
    <s v="CONTRATACIÓN PARA PRESTAR SERVICIOS PROFESIONALES COMO INGENIERO DE SISTEMAS PARA APOYAR LA GESTIÓN DE INFRAESTRUCTURA TECNOLOGÍA FÍSICA Y VIRTUAL DEL INSTITUTO CARO Y CUERVO."/>
    <s v="CONTRATACIÓN DE UN INGENIERO DE SISTEMAS CON PERFIL DE GESTIÓN DE INFRAESTRUCTURA TECNOLOGÍCA FÍSICA Y VIRTUAL PARA EL ICC"/>
    <n v="1"/>
    <n v="1"/>
    <n v="10"/>
    <n v="0"/>
    <s v="CONTRATACIÓN DIRECTA"/>
    <x v="0"/>
    <n v="51581230"/>
    <m/>
    <n v="51581230"/>
    <n v="5158123"/>
    <n v="2018011000284"/>
    <x v="2"/>
    <s v="C-3399-1603-4-0-3399061"/>
    <x v="9"/>
    <s v=" ADAPTAR EL MODELO INTEGRADO DE PLANEACIÓN Y GESTIÓN AL INSTITUTO "/>
    <s v="NO"/>
    <n v="0"/>
    <s v="N.A"/>
    <s v="GESTIÓN CONTRACTUAL"/>
    <s v="HEILIN GUARNIZO"/>
    <n v="3422121"/>
    <s v="heilin.guarnizo@caroycuervo.gov.co"/>
    <s v="ÁLVARO DE JESÚS BERNAL"/>
    <m/>
    <s v="DIANA RAMÍREZ"/>
    <s v="DANIELA LEÓN"/>
    <m/>
    <m/>
  </r>
  <r>
    <s v="82141505; 82141504"/>
    <s v="DIRECCIÓN GENERAL"/>
    <s v="GRUPO DE TECNOLOGÍAS DE LA INFORMACIÓN"/>
    <s v="GESTIÓN DE TECNOLOGÍAS DE LA INFORMACIÓN Y LAS COMUNICACIONES"/>
    <s v="SERVICIOS DE DISEÑO DE SITIOS WEB"/>
    <s v="PRESTACIÓN DE SERVICIOS PROFESIONALES PARA DISEÑO, MANTENIMIENTO Y CREACIÓN DE MATERIAL GRÁFICO DE LOS SITIOS WEB Y LA IMAGEN DIGITAL DEL ICC"/>
    <n v="1"/>
    <n v="1"/>
    <n v="8"/>
    <n v="0"/>
    <s v="CONTRATACIÓN DIRECTA"/>
    <x v="0"/>
    <n v="0"/>
    <m/>
    <n v="0"/>
    <m/>
    <n v="2018011000290"/>
    <x v="0"/>
    <s v="C-3302-1603-2-0-3302070"/>
    <x v="1"/>
    <s v="REALIZAR ACTIVIDADES DE CONSOLIDACIÓN ACADÉMICA"/>
    <s v="NO"/>
    <n v="0"/>
    <s v="N.A"/>
    <s v="GESTIÓN CONTRACTUAL"/>
    <s v="HEILIN GUARNIZO"/>
    <n v="3422121"/>
    <s v="heilin.guarnizo@caroycuervo.gov.co"/>
    <s v="N.A"/>
    <s v="ESTA NECESIDAD APORTA RECURSOS AL CONTRATO QUE SERÁ SOLICITADO POR PLANEACIÓN APORTANTO LOS 32 MILLONES"/>
    <m/>
    <m/>
    <m/>
    <m/>
  </r>
  <r>
    <s v="82141505; 82141504"/>
    <s v="DIRECCIÓN GENERAL"/>
    <s v="GRUPO DE TECNOLOGÍAS DE LA INFORMACIÓN"/>
    <s v="GESTIÓN DE TECNOLOGÍAS DE LA INFORMACIÓN Y LAS COMUNICACIONES"/>
    <s v="SERVICIOS DE DISEÑO DE SITIOS WEB"/>
    <s v="PRESTACIÓN DE SERVICIOS PROFESIONALES PARA DISEÑO, MANTENIMIENTO Y CREACIÓN DE MATERIAL GRÁFICO DE LOS SITIOS WEB Y LA IMAGEN DIGITAL DEL ICC"/>
    <n v="1"/>
    <n v="1"/>
    <n v="0"/>
    <n v="0"/>
    <s v="CONTRATACIÓN DIRECTA"/>
    <x v="0"/>
    <n v="0"/>
    <m/>
    <n v="0"/>
    <m/>
    <n v="2018011000284"/>
    <x v="2"/>
    <s v="C-3399-1603-4-0-3399061"/>
    <x v="9"/>
    <s v=" ADAPTAR EL MODELO INTEGRADO DE PLANEACIÓN Y GESTIÓN AL INSTITUTO "/>
    <s v="NO"/>
    <n v="0"/>
    <s v="N.A"/>
    <s v="GESTIÓN CONTRACTUAL"/>
    <s v="HEILIN GUARNIZO"/>
    <n v="3422121"/>
    <s v="heilin.guarnizo@caroycuervo.gov.co"/>
    <s v="N.A"/>
    <s v="ESTA NECESIDAD APORTA RECURSOS AL CONTRATO QUE SERÁ SOLICITADO POR PLANEACIÓN APORTANTO LOS 32 MILLONES"/>
    <m/>
    <m/>
    <m/>
    <m/>
  </r>
  <r>
    <s v="81111506; 81111612"/>
    <s v="DIRECCIÓN GENERAL"/>
    <s v="GRUPO DE TECNOLOGÍAS DE LA INFORMACIÓN"/>
    <s v="GESTIÓN DE TECNOLOGÍAS DE LA INFORMACIÓN Y LAS COMUNICACIONES"/>
    <s v="PROGRAMADORES DE COMPUTADOR"/>
    <s v="CONTRATACIÓN DE UN INGENIERO DE SISTEMAS O CARRERAS AFINES PARA LA GESTIÓN, MAQUETACIÓN Y PROGRAMACIÓN DE OBJETOS DE APRENDIZAJE DE LOS CURSOS VIRTUALES DEL ICC"/>
    <n v="1"/>
    <n v="1"/>
    <n v="11"/>
    <n v="0"/>
    <s v="CONTRATACIÓN DIRECTA"/>
    <x v="0"/>
    <n v="50252686"/>
    <m/>
    <n v="50252686"/>
    <n v="4568426"/>
    <n v="2018011000290"/>
    <x v="0"/>
    <s v="C-3302-1603-2-0-3302066"/>
    <x v="4"/>
    <s v="PROGRAMAR, DISEÑAR Y OFERTAR PROGRAMAS DE EDUCACIÓN INFORMAL"/>
    <s v="NO"/>
    <n v="0"/>
    <s v="N.A"/>
    <s v="GESTIÓN CONTRACTUAL"/>
    <s v="HEILIN GUARNIZO"/>
    <n v="3422121"/>
    <s v="heilin.guarnizo@caroycuervo.gov.co"/>
    <s v="PEDRO MIGUEL OSORIO TIQUE"/>
    <s v="N.A"/>
    <s v="DIANA RAMÍREZ"/>
    <s v="DANIELA LEÓN"/>
    <s v="LINA ROCHA"/>
    <m/>
  </r>
  <r>
    <s v="82141505; 82141504"/>
    <s v="DIRECCIÓN GENERAL"/>
    <s v="GRUPO DE TECNOLOGÍAS DE LA INFORMACIÓN"/>
    <s v="GESTIÓN DE TECNOLOGÍAS DE LA INFORMACIÓN Y LAS COMUNICACIONES"/>
    <s v="PROGRAMADORES DE COMPUTADOR"/>
    <s v="CONTRATACIÓN PARA PRESTAR SERVICIOS PROFESIONALES PARA EL DISEÑO, MANTENIMIENTO Y CREACIÓN DE MATERIAL GRÁFICO DE LOS SITIOS WEB Y LA IMAGEN DIGITAL DEL INSTITUTO CARO Y CUERVO"/>
    <n v="1"/>
    <n v="1"/>
    <n v="8"/>
    <n v="0"/>
    <s v="CONTRATACIÓN DIRECTA"/>
    <x v="0"/>
    <n v="32000000"/>
    <m/>
    <n v="32000000"/>
    <n v="4000000"/>
    <n v="2018011000290"/>
    <x v="0"/>
    <s v="C-3302-1603-2-0-3302070"/>
    <x v="1"/>
    <s v="REALIZAR ACTIVIDADES DE CONSOLIDACIÓN ACADÉMICA"/>
    <s v="NO"/>
    <n v="0"/>
    <s v="N.A"/>
    <s v="GESTIÓN CONTRACTUAL"/>
    <s v="HEILIN GUARNIZO"/>
    <n v="3422121"/>
    <s v="heilin.guarnizo@caroycuervo.gov.co"/>
    <s v="ANDRÉS FELIPE BERNAL TORRES"/>
    <m/>
    <s v="DIANA RAMÍREZ"/>
    <s v="DANIELA LEÓN"/>
    <m/>
    <m/>
  </r>
  <r>
    <s v="82141505; 82141504"/>
    <s v="DIRECCIÓN GENERAL"/>
    <s v="GRUPO DE TECNOLOGÍAS DE LA INFORMACIÓN"/>
    <s v="GESTIÓN DE TECNOLOGÍAS DE LA INFORMACIÓN Y LAS COMUNICACIONES"/>
    <s v="SERVICIO DE ANÁLISIS DE SISTEMAS"/>
    <s v="CONTRATACIÓN PARA LA PRESTACIÓN DE SERVICIOS PROFESIONALES EN EL REDISEÑO, CONFIGURACIÓN DE MÓDULOS, PLUGINS Y CÓDIGO DE LA PÁGINA WEB Y MICROSITIOS DEL INSTITUTO "/>
    <n v="1"/>
    <n v="1"/>
    <n v="8"/>
    <n v="0"/>
    <s v="CONTRATACIÓN DIRECTA"/>
    <x v="0"/>
    <n v="28506916"/>
    <m/>
    <n v="28506916"/>
    <n v="4000000"/>
    <n v="2018011000284"/>
    <x v="2"/>
    <s v="C-3399-1603-4-0-3399056"/>
    <x v="8"/>
    <s v=" DISEÑAR HERRAMIENTAS PARA ORIENTAR LA PLANEACIÓN INSTITUCIONAL "/>
    <s v="NO"/>
    <n v="0"/>
    <s v="N.A"/>
    <s v="GESTIÓN CONTRACTUAL"/>
    <s v="HEILIN GUARNIZO"/>
    <n v="3422121"/>
    <s v="heilin.guarnizo@caroycuervo.gov.co"/>
    <s v="LUIS FERNANDO SIERRA ROMERO"/>
    <s v="N.A"/>
    <s v="DIANA RAMÍREZ"/>
    <s v="DANIELA LEÓN"/>
    <s v="LINA ROCHA"/>
    <m/>
  </r>
  <r>
    <s v="82141505; 82141504"/>
    <s v="DIRECCIÓN GENERAL"/>
    <s v="GRUPO DE TECNOLOGÍAS DE LA INFORMACIÓN"/>
    <s v="GESTIÓN DE TECNOLOGÍAS DE LA INFORMACIÓN Y LAS COMUNICACIONES"/>
    <s v="SERVICIO DE ANÁLISIS DE SISTEMAS"/>
    <s v="CONTRATACIÓN PARA LA PRESTACIÓN DE SERVICIOS PROFESIONALES EN EL REDISEÑO, CONFIGURACIÓN DE MÓDULOS, PLUGINS Y CÓDIGO DE LA PÁGINA WEB Y MICROSITIOS DEL INSTITUTO "/>
    <n v="1"/>
    <n v="1"/>
    <n v="8"/>
    <n v="0"/>
    <s v="CONTRATACIÓN DIRECTA"/>
    <x v="0"/>
    <n v="3493084"/>
    <m/>
    <n v="3493084"/>
    <m/>
    <n v="2018011000290"/>
    <x v="0"/>
    <s v="C-3302-1603-2-0-3302070"/>
    <x v="1"/>
    <s v="REALIZAR ACTIVIDADES DE CONSOLIDACIÓN ACADÉMICA"/>
    <s v="NO"/>
    <n v="0"/>
    <s v="N.A"/>
    <s v="GESTIÓN CONTRACTUAL"/>
    <s v="HEILIN GUARNIZO"/>
    <n v="3422121"/>
    <s v="heilin.guarnizo@caroycuervo.gov.co"/>
    <s v="LUIS FERNANDO SIERRA ROMERO"/>
    <s v="N.A"/>
    <s v="DIANA RAMÍREZ"/>
    <s v="DANIELA LEÓN"/>
    <s v="LINA ROCHA"/>
    <m/>
  </r>
  <r>
    <s v="81112204; 81112307"/>
    <s v="DIRECCIÓN GENERAL"/>
    <s v="GRUPO DE TECNOLOGÍAS DE LA INFORMACIÓN"/>
    <s v="GESTIÓN DE TECNOLOGÍAS DE LA INFORMACIÓN Y LAS COMUNICACIONES"/>
    <s v="PROGRAMADORES DE COMPUTADOR"/>
    <s v="PRESTAR LOS SERVICIOS PROFESIONALES PARA BRINDAR EL SOPORTE TÉCNICO EN CURSOS VIRTUALES, SERVICIOS TECNOLÓGICOS E INFRAESTRUCTURA DEL INSTITUTO CARO Y CUERVO"/>
    <n v="1"/>
    <n v="1"/>
    <n v="11"/>
    <n v="0"/>
    <s v="CONTRATACIÓN DIRECTA"/>
    <x v="0"/>
    <n v="40000000"/>
    <m/>
    <n v="40000000"/>
    <n v="3636363"/>
    <n v="2018011000290"/>
    <x v="0"/>
    <s v="C-3302-1603-2-0-3302066"/>
    <x v="4"/>
    <s v="PROGRAMAR, DISEÑAR Y OFERTAR PROGRAMAS DE EDUCACIÓN INFORMAL"/>
    <s v="NO"/>
    <n v="0"/>
    <s v="N.A"/>
    <s v="GESTIÓN CONTRACTUAL"/>
    <s v="HEILIN GUARNIZO"/>
    <n v="3422121"/>
    <s v="heilin.guarnizo@caroycuervo.gov.co"/>
    <s v="JEISSON JAVIER LIS DURÁN"/>
    <s v="N.A"/>
    <s v="DIANA RAMÍREZ"/>
    <s v="DANIELA LEÓN"/>
    <s v="LINA ROCHA"/>
    <m/>
  </r>
  <r>
    <n v="81112501"/>
    <s v="DIRECCIÓN GENERAL"/>
    <s v="GRUPO DE TECNOLOGÍAS DE LA INFORMACIÓN"/>
    <s v="GESTIÓN DE TECNOLOGÍAS DE LA INFORMACIÓN Y LAS COMUNICACIONES"/>
    <s v="LICENCIAMIENTO (ADOBE FILEMAKER  ANTIVIRUS GESTOR DE SITIOS WEB)"/>
    <s v="RENOVACIÓN Y ADQUISICION DE LICENCIAMIENTO PARA EL ICC"/>
    <n v="7"/>
    <n v="7"/>
    <n v="3"/>
    <n v="0"/>
    <s v="SELECCIÓN ABREVIADA SUBASTA INVERSA"/>
    <x v="0"/>
    <n v="28000000"/>
    <m/>
    <n v="28000000"/>
    <m/>
    <n v="2018011000284"/>
    <x v="2"/>
    <s v="C-3399-1603-4-0-3399016"/>
    <x v="5"/>
    <s v=" REALIZAR MANTENIMIENTO A ELEMENTOS NO ESTRUCTURALES DE LAS SEDES "/>
    <s v="NO"/>
    <n v="0"/>
    <s v="N.A"/>
    <s v="GESTIÓN CONTRACTUAL"/>
    <s v="HEILIN GUARNIZO"/>
    <n v="3422121"/>
    <s v="heilin.guarnizo@caroycuervo.gov.co"/>
    <s v="N.A"/>
    <s v="N.A"/>
    <m/>
    <m/>
    <m/>
    <m/>
  </r>
  <r>
    <s v="43222503; 81111811"/>
    <s v="DIRECCIÓN GENERAL"/>
    <s v="GRUPO DE TECNOLOGÍAS DE LA INFORMACIÓN"/>
    <s v="GESTIÓN DE TECNOLOGÍAS DE LA INFORMACIÓN Y LAS COMUNICACIONES"/>
    <s v="RENOVACION SMARNET"/>
    <s v="CONTRATACIÓN PARA LA SUSCRIPCIÓN DE LOS SERVICIOS SMART NET TOTAL CARE PARA LOS EQUIPOS DE RED WIFI PROPIEDAD DEL INSTITUTO CARO Y CUERVO"/>
    <n v="8"/>
    <n v="8"/>
    <n v="3"/>
    <n v="0"/>
    <s v="MINIMA CUANTÍA"/>
    <x v="0"/>
    <n v="10000000"/>
    <m/>
    <n v="10000000"/>
    <m/>
    <n v="2018011000284"/>
    <x v="2"/>
    <s v="C-3399-1603-4-0-3399016"/>
    <x v="5"/>
    <s v=" REALIZAR MANTENIMIENTO A ELEMENTOS NO ESTRUCTURALES DE LAS SEDES "/>
    <s v="NO"/>
    <n v="0"/>
    <s v="N.A"/>
    <s v="GESTIÓN CONTRACTUAL"/>
    <s v="HEILIN GUARNIZO"/>
    <n v="3422121"/>
    <s v="heilin.guarnizo@caroycuervo.gov.co"/>
    <s v="N.A"/>
    <s v="N.A"/>
    <m/>
    <m/>
    <m/>
    <m/>
  </r>
  <r>
    <s v="43222503; 81111811"/>
    <s v="DIRECCIÓN GENERAL"/>
    <s v="GRUPO DE TECNOLOGÍAS DE LA INFORMACIÓN"/>
    <s v="GESTIÓN DE TECNOLOGÍAS DE LA INFORMACIÓN Y LAS COMUNICACIONES"/>
    <s v="RENOVACION SMARNET"/>
    <s v="CONTRATACIÓN PARA LA SUSCRIPCIÓN DE LOS SERVICIOS SMART NET TOTAL CARE PARA LOS EQUIPOS DE RED WIFI PROPIEDAD DEL INSTITUTO CARO Y CUERVO"/>
    <n v="8"/>
    <n v="8"/>
    <n v="3"/>
    <n v="0"/>
    <s v="MINIMA CUANTÍA"/>
    <x v="0"/>
    <n v="5000000"/>
    <m/>
    <n v="5000000"/>
    <m/>
    <n v="2018011000284"/>
    <x v="2"/>
    <s v="C-3399-1603-4-0-3399016"/>
    <x v="5"/>
    <s v=" REALIZAR MANTENIMIENTO A ELEMENTOS NO ESTRUCTURALES DE LAS SEDES "/>
    <s v="NO"/>
    <n v="0"/>
    <s v="N.A"/>
    <s v="GESTIÓN CONTRACTUAL"/>
    <s v="HEILIN GUARNIZO"/>
    <n v="3422121"/>
    <s v="heilin.guarnizo@caroycuervo.gov.co"/>
    <s v="N.A"/>
    <s v="N.A"/>
    <m/>
    <m/>
    <m/>
    <m/>
  </r>
  <r>
    <n v="81112501"/>
    <s v="DIRECCIÓN GENERAL"/>
    <s v="GRUPO DE TECNOLOGÍAS DE LA INFORMACIÓN"/>
    <s v="GESTIÓN DE TECNOLOGÍAS DE LA INFORMACIÓN Y LAS COMUNICACIONES"/>
    <s v="SOFTWARE DE CORREO ELECTRÓNICO Y OFFICE "/>
    <s v="COMPRA DE LAS LICENCIAS DE CORREO ELÉCTRONICO  OFFICE Y NUBE PERSONAL DE TRABAJO PARA TODA LA ENTIDAD ADMINISTRATIVA Y ESTUDIANTIL"/>
    <n v="9"/>
    <n v="9"/>
    <n v="3"/>
    <n v="0"/>
    <s v="ACUERDO MARCO"/>
    <x v="0"/>
    <n v="49719132"/>
    <m/>
    <n v="49719132"/>
    <m/>
    <n v="2018011000284"/>
    <x v="2"/>
    <s v="C-3399-1603-4-0-3399016"/>
    <x v="5"/>
    <s v=" REALIZAR MANTENIMIENTO A ELEMENTOS NO ESTRUCTURALES DE LAS SEDES "/>
    <s v="NO"/>
    <n v="0"/>
    <s v="N.A"/>
    <s v="GESTIÓN CONTRACTUAL"/>
    <s v="HEILIN GUARNIZO"/>
    <n v="3422121"/>
    <s v="heilin.guarnizo@caroycuervo.gov.co"/>
    <s v="N.A"/>
    <s v="N.A"/>
    <m/>
    <m/>
    <m/>
    <m/>
  </r>
  <r>
    <n v="43233201"/>
    <s v="DIRECCIÓN GENERAL"/>
    <s v="GRUPO DE TECNOLOGÍAS DE LA INFORMACIÓN"/>
    <s v="GESTIÓN DE TECNOLOGÍAS DE LA INFORMACIÓN Y LAS COMUNICACIONES"/>
    <s v="SOFTWARE DE SERVIDOR DE AUTENTICACIÓN"/>
    <s v="ADQUISICION DE CERTIFICADOS DE TELEFONIA IP (TEAMS)"/>
    <n v="10"/>
    <n v="10"/>
    <n v="3"/>
    <n v="0"/>
    <s v="MINIMA CUANTÍA"/>
    <x v="0"/>
    <n v="4000000"/>
    <m/>
    <n v="4000000"/>
    <m/>
    <n v="2018011000284"/>
    <x v="2"/>
    <s v="C-3399-1603-4-0-3399016"/>
    <x v="5"/>
    <s v=" REALIZAR MANTENIMIENTO A ELEMENTOS NO ESTRUCTURALES DE LAS SEDES "/>
    <s v="NO"/>
    <n v="0"/>
    <s v="N.A"/>
    <s v="GESTIÓN CONTRACTUAL"/>
    <s v="HEILIN GUARNIZO"/>
    <n v="3422121"/>
    <s v="heilin.guarnizo@caroycuervo.gov.co"/>
    <s v="N.A"/>
    <s v="N.A"/>
    <m/>
    <m/>
    <m/>
    <m/>
  </r>
  <r>
    <s v="72101511;72151504"/>
    <s v="DIRECCIÓN GENERAL"/>
    <s v="GRUPO DE TECNOLOGÍAS DE LA INFORMACIÓN"/>
    <s v="GESTIÓN DE TECNOLOGÍAS DE LA INFORMACIÓN Y LAS COMUNICACIONES"/>
    <s v="MANTENIMIENTO UPS Y AIRE ACONDICIONADO"/>
    <s v="CONTRATAR EL SERVICIO DE MANTENIMIENTO DE UPS Y AIRE ACONDICIONADO PARA LOS CENTROS DE DATOS DE LAS SEDES DEL ICC"/>
    <n v="5"/>
    <n v="5"/>
    <n v="7"/>
    <n v="0"/>
    <s v="MINIMA CUANTÍA"/>
    <x v="0"/>
    <n v="13000000"/>
    <m/>
    <n v="13000000"/>
    <m/>
    <n v="2018011000284"/>
    <x v="2"/>
    <s v="C-3399-1603-4-0-3399016"/>
    <x v="5"/>
    <s v=" REALIZAR MANTENIMIENTO A ELEMENTOS NO ESTRUCTURALES DE LAS SEDES "/>
    <s v="NO"/>
    <n v="0"/>
    <s v="N.A"/>
    <s v="GESTIÓN CONTRACTUAL"/>
    <s v="HEILIN GUARNIZO"/>
    <n v="3422121"/>
    <s v="heilin.guarnizo@caroycuervo.gov.co"/>
    <s v="N.A"/>
    <s v="N.A"/>
    <m/>
    <m/>
    <m/>
    <m/>
  </r>
  <r>
    <n v="81112306"/>
    <s v="DIRECCIÓN GENERAL"/>
    <s v="GRUPO DE TECNOLOGÍAS DE LA INFORMACIÓN"/>
    <s v="GESTIÓN DE TECNOLOGÍAS DE LA INFORMACIÓN Y LAS COMUNICACIONES"/>
    <s v="MANTENIMIENTO DE IMPRESORAS"/>
    <s v="CONTRATAR EL SERVICIO DE MANTENIMIENTO DE IMPRESORAS RENOVACION DE LICENCIA Y ADQUISICION DE TONNER"/>
    <n v="6"/>
    <n v="6"/>
    <n v="6"/>
    <n v="0"/>
    <s v="MINIMA CUANTÍA"/>
    <x v="0"/>
    <n v="16000000"/>
    <m/>
    <n v="16000000"/>
    <m/>
    <n v="2018011000284"/>
    <x v="2"/>
    <s v="C-3399-1603-4-0-3399016"/>
    <x v="5"/>
    <s v=" REALIZAR MANTENIMIENTO A ELEMENTOS NO ESTRUCTURALES DE LAS SEDES "/>
    <s v="NO"/>
    <n v="0"/>
    <s v="N.A"/>
    <s v="GESTIÓN CONTRACTUAL"/>
    <s v="HEILIN GUARNIZO"/>
    <n v="3422121"/>
    <s v="heilin.guarnizo@caroycuervo.gov.co"/>
    <s v="N.A"/>
    <s v="N.A"/>
    <m/>
    <m/>
    <m/>
    <m/>
  </r>
  <r>
    <n v="80111621"/>
    <s v="ACADÉMICA"/>
    <s v="INVESTIGACIÓN"/>
    <s v="INVESTIGACIÓN"/>
    <s v="ASESOR INVESTIGACIÓN EXTERNA"/>
    <s v="ASESOR INVESTIGACIÓN EXTERNA"/>
    <n v="1"/>
    <m/>
    <n v="10"/>
    <n v="0"/>
    <s v="CONTRATACIÓN DIRECTA"/>
    <x v="0"/>
    <n v="38856615"/>
    <m/>
    <n v="38856615"/>
    <n v="3885661"/>
    <n v="2018011000290"/>
    <x v="0"/>
    <s v="C-3302-1603-2-0-3302001"/>
    <x v="2"/>
    <s v="DISEÑAR, APROBAR Y EJECUTAR LOS PROYECTOS DE INVESTIGACIÓN"/>
    <s v="NO"/>
    <n v="0"/>
    <s v="N.A"/>
    <s v="GESTIÓN CONTRACTUAL"/>
    <s v="JULIO BERNAL"/>
    <n v="3422121"/>
    <s v="julio.bernal@caroycuervo.gov.co "/>
    <s v="JUAN PABLO ESCAMILLA"/>
    <m/>
    <s v="CRISTIAN VELANDIA"/>
    <s v="DANIELA LEÓN"/>
    <m/>
    <s v="UNIFICAR;  REQUIERE AJUSTES ADICIONALES AL EP. CAMPOS PRESUPUESTALES YA AJUSTADOS POR PLANEACIÓN ACORDE CON EL PAA "/>
  </r>
  <r>
    <s v="80111621; 90111601"/>
    <s v="ACADÉMICA"/>
    <s v="INVESTIGACIÓN"/>
    <s v="INVESTIGACIÓN"/>
    <s v="PROFESIONAL APOYO COORDINACIÓN INVESTIGACIÓN"/>
    <s v="PROFESIONAL APOYO COORDINACIÓN INVESTIGACIÓN"/>
    <n v="1"/>
    <m/>
    <n v="11"/>
    <n v="15"/>
    <s v="CONTRATACIÓN DIRECTA"/>
    <x v="0"/>
    <n v="71069692"/>
    <m/>
    <n v="71069692"/>
    <m/>
    <n v="2018011000290"/>
    <x v="0"/>
    <s v="C-3302-1603-2-0-3302001"/>
    <x v="2"/>
    <s v="DISEÑAR, APROBAR Y EJECUTAR LOS PROYECTOS DE INVESTIGACIÓN"/>
    <s v="NO"/>
    <n v="0"/>
    <s v="N.A"/>
    <s v="GESTIÓN CONTRACTUAL"/>
    <s v="JULIO BERNAL"/>
    <n v="3422121"/>
    <s v="julio.bernal@caroycuervo.gov.co "/>
    <s v="MARIANA JARAMILLO"/>
    <m/>
    <s v="CRISTIAN VELANDIA"/>
    <s v="DANIELA LEÓN"/>
    <s v="MARCELA GUALTEROS"/>
    <s v="N.A"/>
  </r>
  <r>
    <n v="80111621"/>
    <s v="ACADÉMICA"/>
    <s v="INVESTIGACIÓN"/>
    <s v="INVESTIGACIÓN"/>
    <s v="LA INTERNACIONALIZACIÓN DE LOS ESCRITORES &quot;COLOMBIANOS&quot; A PARTIR DE LA DECADA DE 1990: EDITORIALES, CRÍTICA PREMIOS Y EVENTOS COMO INTERMEDIARIOS DE VISIBILIDAD"/>
    <s v="CO INVESTIGADOR DEL PROYECTO"/>
    <n v="1"/>
    <m/>
    <n v="10"/>
    <n v="0"/>
    <s v="CONTRATACIÓN DIRECTA"/>
    <x v="0"/>
    <n v="29484000"/>
    <m/>
    <n v="29484000"/>
    <m/>
    <n v="2018011000290"/>
    <x v="0"/>
    <s v="C-3302-1603-2-0-3302001"/>
    <x v="2"/>
    <s v="DISEÑAR, APROBAR Y EJECUTAR LOS PROYECTOS DE INVESTIGACIÓN"/>
    <s v="NO"/>
    <n v="0"/>
    <s v="N.A"/>
    <s v="GESTIÓN CONTRACTUAL"/>
    <s v="JULIO BERNAL"/>
    <n v="3422121"/>
    <s v="julio.bernal@caroycuervo.gov.co "/>
    <s v="MARGARITA CATALINA VALENCIA"/>
    <m/>
    <s v="CRISTIAN VELANDIA"/>
    <m/>
    <m/>
    <s v="UNIFICAR"/>
  </r>
  <r>
    <n v="80111621"/>
    <s v="ACADÉMICA"/>
    <s v="INVESTIGACIÓN"/>
    <s v="INVESTIGACIÓN"/>
    <s v="LA INTERNACIONALIZACIÓN DE LOS ESCRITORES &quot;COLOMBIANOS&quot; A PARTIR DE LA DECADA DE 1990: EDITORIALES, CRÍTICA PREMIOS Y EVENTOS COMO INTERMEDIARIOS DE VISIBILIDAD"/>
    <s v="ASISTENTE DE INVESTIGACIÓN"/>
    <n v="1"/>
    <m/>
    <n v="10"/>
    <n v="0"/>
    <s v="CONTRATACIÓN DIRECTA"/>
    <x v="0"/>
    <n v="14000000"/>
    <m/>
    <n v="14000000"/>
    <m/>
    <n v="2018011000290"/>
    <x v="0"/>
    <s v="C-3302-1603-2-0-3302001"/>
    <x v="2"/>
    <s v="DISEÑAR, APROBAR Y EJECUTAR LOS PROYECTOS DE INVESTIGACIÓN"/>
    <s v="NO"/>
    <n v="0"/>
    <s v="N.A"/>
    <s v="GESTIÓN CONTRACTUAL"/>
    <s v="JULIO BERNAL"/>
    <n v="3422121"/>
    <s v="julio.bernal@caroycuervo.gov.co "/>
    <s v="MARTIN GÓMEZ"/>
    <m/>
    <s v="CRISTIAN VELANDIA"/>
    <m/>
    <m/>
    <s v="EP REVISADO CON AJUSTES MENORES PRESUPUESTALES REALIZADOS EN EL EP"/>
  </r>
  <r>
    <n v="80111621"/>
    <s v="ACADÉMICA"/>
    <s v="INVESTIGACIÓN"/>
    <s v="INVESTIGACIÓN"/>
    <s v="LA INTERNACIONALIZACIÓN DE LOS ESCRITORES &quot;COLOMBIANOS&quot; A PARTIR DE LA DECADA DE 1990: EDITORIALES, CRÍTICA PREMIOS Y EVENTOS COMO INTERMEDIARIOS DE VISIBILIDAD"/>
    <s v="ASESOR ACADÉMICO EN EL ÁREA DE SOCIOLOGÍA"/>
    <n v="2"/>
    <m/>
    <n v="4"/>
    <n v="0"/>
    <s v="CONTRATACIÓN DIRECTA"/>
    <x v="0"/>
    <n v="4800000"/>
    <m/>
    <n v="4800000"/>
    <m/>
    <n v="2018011000290"/>
    <x v="0"/>
    <s v="C-3302-1603-2-0-3302001"/>
    <x v="2"/>
    <s v="DISEÑAR, APROBAR Y EJECUTAR LOS PROYECTOS DE INVESTIGACIÓN"/>
    <s v="NO"/>
    <n v="0"/>
    <s v="N.A"/>
    <s v="GESTIÓN CONTRACTUAL"/>
    <s v="JULIO BERNAL"/>
    <n v="3422121"/>
    <s v="julio.bernal@caroycuervo.gov.co "/>
    <s v="N.A"/>
    <m/>
    <m/>
    <m/>
    <m/>
    <s v="N.A"/>
  </r>
  <r>
    <n v="80111621"/>
    <s v="ACADÉMICA"/>
    <s v="INVESTIGACIÓN"/>
    <s v="INVESTIGACIÓN"/>
    <s v="POESIA EN MOVIMIENTO FASE 3"/>
    <s v="ASISTENTE DE INVESTIGACIÓN CON PREGRADO"/>
    <n v="2"/>
    <m/>
    <n v="10"/>
    <n v="0"/>
    <s v="CONTRATACIÓN DIRECTA"/>
    <x v="0"/>
    <n v="18720000"/>
    <m/>
    <n v="18720000"/>
    <n v="1872000"/>
    <n v="2018011000290"/>
    <x v="0"/>
    <s v="C-3302-1603-2-0-3302001"/>
    <x v="2"/>
    <s v="DISEÑAR, APROBAR Y EJECUTAR LOS PROYECTOS DE INVESTIGACIÓN"/>
    <s v="NO"/>
    <n v="0"/>
    <s v="N.A"/>
    <s v="GESTIÓN CONTRACTUAL"/>
    <s v="JULIO BERNAL"/>
    <n v="3422121"/>
    <s v="julio.bernal@caroycuervo.gov.co "/>
    <s v="JULIAN SANTAMARÍA O  JUAN SEBASTIÁN RÍOS"/>
    <m/>
    <s v="CRISTIAN VELANDIA"/>
    <s v="DANIELA LEÓN"/>
    <m/>
    <s v="REPETIDO CON JUAN SEBASTIAN RIOS REQUIERE AJUSTES ADICIONALES AL EP. CAMPOS PRESUPUESTALES YA AJUSTADOS POR PLANEACIÓN ACORDE CON EL PAA"/>
  </r>
  <r>
    <n v="80111621"/>
    <s v="ACADÉMICA"/>
    <s v="INVESTIGACIÓN"/>
    <s v="INVESTIGACIÓN"/>
    <s v="POESIA EN MOVIMIENTO FASE 3"/>
    <s v="ASISTENTE EDITORIAL CON PREGRADO"/>
    <n v="2"/>
    <m/>
    <n v="5"/>
    <n v="0"/>
    <s v="CONTRATACIÓN DIRECTA"/>
    <x v="0"/>
    <n v="9360000"/>
    <m/>
    <n v="9360000"/>
    <m/>
    <n v="2018011000290"/>
    <x v="0"/>
    <s v="C-3302-1603-2-0-3302001"/>
    <x v="2"/>
    <s v="DISEÑAR, APROBAR Y EJECUTAR LOS PROYECTOS DE INVESTIGACIÓN"/>
    <s v="NO"/>
    <n v="0"/>
    <s v="N.A"/>
    <s v="GESTIÓN CONTRACTUAL"/>
    <s v="JULIO BERNAL"/>
    <n v="3422121"/>
    <s v="julio.bernal@caroycuervo.gov.co "/>
    <s v="VERONICA MANOSALVA"/>
    <m/>
    <s v="CRISTIAN VELANDIA"/>
    <m/>
    <m/>
    <s v="EP REVISADO CON AJUSTES MENORES PRESUPUESTALES REALIZADOS EN EL EP"/>
  </r>
  <r>
    <n v="80111621"/>
    <s v="ACADÉMICA"/>
    <s v="INVESTIGACIÓN"/>
    <s v="INVESTIGACIÓN"/>
    <s v="CÓMO SE ESCRIBE UN TEXTO EN SUMAPAZ: APRENDER LDE LAS PRACTICAS DE ESCRITURA VERNACULAR EN COLOMBIA (FASE 4 DE 4 Y CONTINUACIÓN DE LA LÍNEA DE GLOTOPOLÍTICA) "/>
    <s v="INVESTIGADOR"/>
    <n v="1"/>
    <m/>
    <n v="10"/>
    <n v="0"/>
    <s v="CONTRATACIÓN DIRECTA"/>
    <x v="0"/>
    <n v="48404374"/>
    <m/>
    <n v="48404374"/>
    <n v="5510370"/>
    <n v="2018011000290"/>
    <x v="0"/>
    <s v="C-3302-1603-2-0-3302001"/>
    <x v="2"/>
    <s v="DISEÑAR, APROBAR Y EJECUTAR LOS PROYECTOS DE INVESTIGACIÓN"/>
    <s v="NO"/>
    <n v="0"/>
    <s v="N.A"/>
    <s v="GESTIÓN CONTRACTUAL"/>
    <s v="JULIO BERNAL"/>
    <n v="3422121"/>
    <s v="julio.bernal@caroycuervo.gov.co "/>
    <s v="DANIEL RUDAS"/>
    <m/>
    <s v="CRISTIAN VELANDIA"/>
    <s v="DANIELA LEÓN"/>
    <m/>
    <s v="UNIFICAR; REQUIERE AJUSTES ADICIONALES AL EP. CAMPOS PRESUPUESTALES YA AJUSTADOS POR PLANEACIÓN ACORDE CON EL PAA"/>
  </r>
  <r>
    <n v="80111621"/>
    <s v="ACADÉMICA"/>
    <s v="INVESTIGACIÓN"/>
    <s v="INVESTIGACIÓN"/>
    <s v="CORE: HABAL CONECTADA Y REDUCCIÓN FONÉTICA EN EL ESPAÑOL DE COLOMBIA FASE II"/>
    <s v="CO INVESTIGADOR DEL PROYECTO"/>
    <n v="1"/>
    <m/>
    <n v="10"/>
    <n v="0"/>
    <s v="CONTRATACIÓN DIRECTA"/>
    <x v="0"/>
    <n v="28922400"/>
    <m/>
    <n v="28922400"/>
    <n v="2892240"/>
    <n v="2018011000290"/>
    <x v="0"/>
    <s v="C-3302-1603-2-0-3302001"/>
    <x v="2"/>
    <s v="DISEÑAR, APROBAR Y EJECUTAR LOS PROYECTOS DE INVESTIGACIÓN"/>
    <s v="NO"/>
    <n v="0"/>
    <s v="N.A"/>
    <s v="GESTIÓN CONTRACTUAL"/>
    <s v="JULIO BERNAL"/>
    <n v="3422121"/>
    <s v="julio.bernal@caroycuervo.gov.co "/>
    <s v="LINDA RODRÍGUEZ"/>
    <m/>
    <s v="CRISTIAN VELANDIA"/>
    <s v="DANIELA LEÓN"/>
    <m/>
    <s v="EP REVISADO CON AJUSTES MENORES PRESUPUESTALES REALIZADOS EN EL EP"/>
  </r>
  <r>
    <n v="60103600"/>
    <s v="ACADÉMICA"/>
    <s v="INVESTIGACIÓN"/>
    <s v="INVESTIGACIÓN"/>
    <s v="RAZA Y EDUCACIÓN EN SEGUNDAS LENGUAS (ESPAÑOL E INGLÉS): HACIA PEDAGOGÍAS DEL EMPODERAMIENTO INTERCULTURAL Y JUSTICIA SOCIAL-FASE II"/>
    <s v="INSCRIPCIÓN EVENTO ACADÉMICO"/>
    <n v="1"/>
    <m/>
    <n v="0"/>
    <n v="0"/>
    <s v="CONTRATACIÓN DIRECTA"/>
    <x v="0"/>
    <n v="500000"/>
    <m/>
    <n v="500000"/>
    <m/>
    <n v="2018011000290"/>
    <x v="0"/>
    <s v="C-3302-1603-2-0-3302001"/>
    <x v="2"/>
    <s v="DISEÑAR, APROBAR Y EJECUTAR LOS PROYECTOS DE INVESTIGACIÓN"/>
    <s v="NO"/>
    <n v="0"/>
    <s v="N.A"/>
    <s v="GESTIÓN CONTRACTUAL"/>
    <s v="JULIO BERNAL"/>
    <n v="3422121"/>
    <s v="julio.bernal@caroycuervo.gov.co "/>
    <s v="FERNEY CRUZ"/>
    <m/>
    <m/>
    <m/>
    <m/>
    <s v="N.A"/>
  </r>
  <r>
    <n v="60103600"/>
    <s v="ACADÉMICA"/>
    <s v="INVESTIGACIÓN"/>
    <s v="INVESTIGACIÓN"/>
    <s v="CUESTIONES DE GRAMÁTICA PARA PROFESORES DE ELE: SISTEMA VERBAL"/>
    <s v="INSCRIPCIÓN EVENTO ACADÉMICO NACIONAL O INTERNACIONAL"/>
    <n v="1"/>
    <m/>
    <n v="0"/>
    <n v="0"/>
    <s v="CONTRATACIÓN DIRECTA"/>
    <x v="1"/>
    <n v="500000"/>
    <m/>
    <n v="500000"/>
    <m/>
    <n v="2018011000290"/>
    <x v="0"/>
    <s v="C-3302-1603-2-0-3302070"/>
    <x v="1"/>
    <s v="REALIZAR ACTIVIDADES DE CONSOLIDACIÓN ACADÉMICA"/>
    <s v="NO"/>
    <n v="0"/>
    <s v="N.A"/>
    <s v="GESTIÓN CONTRACTUAL"/>
    <s v="JULIO BERNAL"/>
    <n v="3422121"/>
    <s v="julio.bernal@caroycuervo.gov.co "/>
    <s v="MONICA LOPEZ-LUZ DARY LEÓN"/>
    <m/>
    <m/>
    <m/>
    <m/>
    <s v="N.A"/>
  </r>
  <r>
    <s v="80111621; 82111801"/>
    <s v="ACADÉMICA"/>
    <s v="INVESTIGACIÓN"/>
    <s v="INVESTIGACIÓN"/>
    <s v="ARTISTAS EN LAS CUBIERTAS DE LIBROS COLOMBIANOS EN LA PRIMERA MITAD DEL SIGLO XX"/>
    <s v="ASISTENTE DE INVESTIGACIÓN"/>
    <n v="1"/>
    <m/>
    <n v="10"/>
    <n v="0"/>
    <s v="CONTRATACIÓN DIRECTA"/>
    <x v="0"/>
    <n v="26120075"/>
    <m/>
    <n v="26120075"/>
    <m/>
    <n v="2018011000290"/>
    <x v="0"/>
    <s v="C-3302-1603-2-0-3302001"/>
    <x v="2"/>
    <s v="DISEÑAR, APROBAR Y EJECUTAR LOS PROYECTOS DE INVESTIGACIÓN"/>
    <s v="NO"/>
    <n v="0"/>
    <s v="N.A"/>
    <s v="GESTIÓN CONTRACTUAL"/>
    <s v="JULIO BERNAL"/>
    <n v="3422121"/>
    <s v="julio.bernal@caroycuervo.gov.co "/>
    <s v="MARTHA SUSANA RUDAS"/>
    <m/>
    <s v="CRISTIAN VELANDIA"/>
    <m/>
    <m/>
    <s v="REQUIERE AJUSTES ADICIONALES AL EP. CAMPOS PRESUPUESTALES YA AJUSTADOS POR PLANEACIÓN ACORDE CON EL PAA"/>
  </r>
  <r>
    <n v="60103600"/>
    <s v="ACADÉMICA"/>
    <s v="INVESTIGACIÓN"/>
    <s v="INVESTIGACIÓN"/>
    <s v="EL CUENTO INFNATIL COLOMBIANO COMO HERRAMIENTA DIDÁCTICA PARA LA ENSEÑANZA DE ESPAÑOL COMO LENGUA EXTRANJERA Y SEGUNDA LENGUA (INDÍGENAS) PARA NIÑOS ENTRE 7 Y 12 AÑOS DE EDAD "/>
    <s v="TRES INSCRIPCIONES A EVENTO ACADÉMICO NACIONAL O INTERNACIONAL"/>
    <n v="1"/>
    <m/>
    <n v="0"/>
    <n v="0"/>
    <s v="CONTRATACIÓN DIRECTA"/>
    <x v="1"/>
    <n v="1200000"/>
    <m/>
    <n v="1200000"/>
    <m/>
    <n v="2018011000290"/>
    <x v="0"/>
    <s v="C-3302-1603-2-0-3302070"/>
    <x v="1"/>
    <s v="REALIZAR ACTIVIDADES DE CONSOLIDACIÓN ACADÉMICA"/>
    <s v="NO"/>
    <n v="0"/>
    <s v="N.A"/>
    <s v="GESTIÓN CONTRACTUAL"/>
    <s v="JULIO BERNAL"/>
    <n v="3422121"/>
    <s v="julio.bernal@caroycuervo.gov.co "/>
    <s v="DIANA HINCAPIE-LUZ DARY LEÓN-MÓNICA LÓPEZ"/>
    <m/>
    <m/>
    <m/>
    <m/>
    <s v="N.A"/>
  </r>
  <r>
    <n v="80111621"/>
    <s v="ACADÉMICA"/>
    <s v="INVESTIGACIÓN"/>
    <s v="INVESTIGACIÓN"/>
    <s v="RECORRIDO DE MELODÍAS DE MUJERES EN EL NOROESTE AMAZÓNICO. DOCUMENTACIPON Y DESCRIPCIÓN DE CANCIONES Y MÚSICAS DE MUJERES INDÍGENAS"/>
    <s v="INVESTIGADORA"/>
    <n v="1"/>
    <m/>
    <n v="10"/>
    <n v="0"/>
    <s v="CONTRATACIÓN DIRECTA"/>
    <x v="0"/>
    <n v="50373180"/>
    <m/>
    <n v="50373180"/>
    <n v="5037318"/>
    <n v="2018011000290"/>
    <x v="0"/>
    <s v="C-3302-1603-2-0-3302001"/>
    <x v="2"/>
    <s v="DISEÑAR, APROBAR Y EJECUTAR LOS PROYECTOS DE INVESTIGACIÓN"/>
    <s v="NO"/>
    <n v="0"/>
    <s v="N.A"/>
    <s v="GESTIÓN CONTRACTUAL"/>
    <s v="JULIO BERNAL"/>
    <n v="3422121"/>
    <s v="julio.bernal@caroycuervo.gov.co "/>
    <s v="KATHERINE BOLAÑOS"/>
    <m/>
    <s v="CRISTIAN VELANDIA"/>
    <s v="DANIELA LEÓN"/>
    <m/>
    <s v="REQUIERE AJUSTES ADICIONALES AL EP. CAMPOS PRESUPUESTALES YA AJUSTADOS POR PLANEACIÓN ACORDE CON EL PAA"/>
  </r>
  <r>
    <n v="80111621"/>
    <s v="ACADÉMICA"/>
    <s v="INVESTIGACIÓN"/>
    <s v="INVESTIGACIÓN"/>
    <s v="RECORRIDO DE MELODÍAS DE MUJERES EN EL NOROESTE AMAZÓNICO. DOCUMENTACIPON Y DESCRIPCIÓN DE CANCIONES Y MÚSICAS DE MUJERES INDÍGENAS"/>
    <s v="SERVICIOS TÉCNICOS INVESTIGACIÓN"/>
    <n v="1"/>
    <m/>
    <n v="0"/>
    <n v="0"/>
    <s v="CONTRATACIÓN DIRECTA"/>
    <x v="0"/>
    <n v="8000000"/>
    <m/>
    <n v="8000000"/>
    <m/>
    <n v="2018011000290"/>
    <x v="0"/>
    <s v="C-3302-1603-2-0-3302001"/>
    <x v="2"/>
    <s v="DISEÑAR, APROBAR Y EJECUTAR LOS PROYECTOS DE INVESTIGACIÓN"/>
    <s v="NO"/>
    <n v="0"/>
    <s v="N.A"/>
    <s v="GESTIÓN CONTRACTUAL"/>
    <s v="JULIO BERNAL"/>
    <n v="3422121"/>
    <s v="julio.bernal@caroycuervo.gov.co "/>
    <s v="HERMES SANCHEZ"/>
    <m/>
    <s v="CRISTIAN VELANDIA"/>
    <m/>
    <m/>
    <s v="REQUIERE AJUSTES ADICIONALES AL EP. CAMPOS PRESUPUESTALES YA AJUSTADOS POR PLANEACIÓN ACORDE CON EL PAA"/>
  </r>
  <r>
    <n v="60103600"/>
    <s v="ACADÉMICA"/>
    <s v="INVESTIGACIÓN"/>
    <s v="INVESTIGACIÓN"/>
    <s v="COMPETENCIAS EN TIC DE DOCENTES DE LENGUAS EXTRANJERAS: ANALISIS DE NECESIDADES  EN FORMACIÓN DOCENTE"/>
    <s v="DOS INSCRIPCIONES A EVENTO ACADÉMICO INTERNACIONAL"/>
    <m/>
    <m/>
    <n v="0"/>
    <n v="0"/>
    <s v="CONTRATACIÓN DIRECTA"/>
    <x v="1"/>
    <n v="1000000"/>
    <m/>
    <n v="1000000"/>
    <m/>
    <n v="2018011000290"/>
    <x v="0"/>
    <s v="C-3302-1603-2-0-3302001"/>
    <x v="2"/>
    <s v="DISEÑAR, APROBAR Y EJECUTAR LOS PROYECTOS DE INVESTIGACIÓN"/>
    <s v="NO"/>
    <n v="0"/>
    <s v="N.A"/>
    <s v="GESTIÓN CONTRACTUAL"/>
    <s v="JULIO BERNAL"/>
    <n v="3422121"/>
    <s v="julio.bernal@caroycuervo.gov.co "/>
    <s v="ANGELICA MEZA"/>
    <m/>
    <m/>
    <m/>
    <m/>
    <s v="N.A"/>
  </r>
  <r>
    <n v="80111621"/>
    <s v="ACADÉMICA"/>
    <s v="INVESTIGACIÓN"/>
    <s v="INVESTIGACIÓN"/>
    <s v="NOVELA SIN FICCÓN SOBRE LA DESGRACIA PROPIA"/>
    <s v="ASISTENTE DE INVESTIGACIÓN"/>
    <n v="1"/>
    <m/>
    <n v="4"/>
    <n v="0"/>
    <s v="CONTRATACIÓN DIRECTA"/>
    <x v="0"/>
    <n v="4000000"/>
    <m/>
    <n v="4000000"/>
    <m/>
    <n v="2018011000290"/>
    <x v="0"/>
    <s v="C-3302-1603-2-0-3302001"/>
    <x v="2"/>
    <s v="DISEÑAR, APROBAR Y EJECUTAR LOS PROYECTOS DE INVESTIGACIÓN"/>
    <s v="NO"/>
    <n v="0"/>
    <s v="N.A"/>
    <s v="GESTIÓN CONTRACTUAL"/>
    <s v="JULIO BERNAL"/>
    <n v="3422121"/>
    <s v="julio.bernal@caroycuervo.gov.co "/>
    <s v="JUAN ALVAREZ"/>
    <m/>
    <m/>
    <m/>
    <s v="LINA ROCHA"/>
    <s v="CONVENIO"/>
  </r>
  <r>
    <n v="80111621"/>
    <s v="ACADÉMICA"/>
    <s v="INVESTIGACIÓN"/>
    <s v="INVESTIGACIÓN"/>
    <s v="NOVELA SIN FICCÓN SOBRE LA DESGRACIA PROPIA"/>
    <s v="ASISTENTE DE INVESTIGACIÓN"/>
    <n v="1"/>
    <m/>
    <n v="4"/>
    <n v="0"/>
    <s v="CONTRATACIÓN DIRECTA"/>
    <x v="0"/>
    <n v="4000000"/>
    <m/>
    <n v="4000000"/>
    <m/>
    <n v="2018011000290"/>
    <x v="0"/>
    <s v="C-3302-1603-2-0-3302001"/>
    <x v="2"/>
    <s v="DISEÑAR, APROBAR Y EJECUTAR LOS PROYECTOS DE INVESTIGACIÓN"/>
    <s v="NO"/>
    <n v="0"/>
    <s v="N.A"/>
    <s v="GESTIÓN CONTRACTUAL"/>
    <s v="JULIO BERNAL"/>
    <n v="3422121"/>
    <s v="julio.bernal@caroycuervo.gov.co "/>
    <s v="JUAN ALVAREZ"/>
    <m/>
    <m/>
    <m/>
    <s v="LINA ROCHA"/>
    <s v="CONVENIO"/>
  </r>
  <r>
    <n v="80111601"/>
    <s v="ACADÉMICA"/>
    <s v="INVESTIGACIÓN"/>
    <s v="INVESTIGACIÓN"/>
    <s v="CARTOGRAFÍA CRÍTICA DEL CUENTO EN COLOMBIA: LA DÉCADA DE LOS 80 Y LOS ARCHIVOS LITERARIOS III PARTE"/>
    <s v="ASISTENTE DE INVESTIGACIÓN"/>
    <n v="1"/>
    <m/>
    <n v="10"/>
    <n v="0"/>
    <s v="CONTRATACIÓN DIRECTA"/>
    <x v="0"/>
    <n v="28080000"/>
    <m/>
    <n v="28080000"/>
    <m/>
    <n v="2018011000290"/>
    <x v="0"/>
    <s v="C-3302-1603-2-0-3302001"/>
    <x v="2"/>
    <s v="DISEÑAR, APROBAR Y EJECUTAR LOS PROYECTOS DE INVESTIGACIÓN"/>
    <s v="NO"/>
    <n v="0"/>
    <s v="N.A"/>
    <s v="GESTIÓN CONTRACTUAL"/>
    <s v="JULIO BERNAL"/>
    <n v="3422121"/>
    <s v="julio.bernal@caroycuervo.gov.co "/>
    <s v="TANIA TRIANA"/>
    <m/>
    <s v="CRISTIAN VELANDIA"/>
    <m/>
    <m/>
    <s v="REQUIERE AJUSTES ADICIONALES AL EP. CAMPOS PRESUPUESTALES YA AJUSTADOS POR PLANEACIÓN ACORDE CON EL PAA"/>
  </r>
  <r>
    <n v="60103600"/>
    <s v="ACADÉMICA"/>
    <s v="INVESTIGACIÓN"/>
    <s v="INVESTIGACIÓN"/>
    <s v="CORPUS LEXICO DEL ESPAÑOL DE COLOMBIA CORLEXCO CUARTA FASE: CONSTRUCCIONES ADVERBIALES (LOCUCIONES Y COLOCACIONES)"/>
    <s v="INSCRIPCIÓN AL IX CONGRESO INTERNACIONAL DE LEXICOGRAFÍA HISPANICA EVENTO VIRTUAL"/>
    <n v="1"/>
    <m/>
    <n v="0"/>
    <n v="0"/>
    <s v="CONTRATACIÓN DIRECTA"/>
    <x v="1"/>
    <n v="1000000"/>
    <m/>
    <n v="1000000"/>
    <m/>
    <n v="2018011000290"/>
    <x v="0"/>
    <s v="C-3302-1603-2-0-3302001"/>
    <x v="2"/>
    <s v="DISEÑAR, APROBAR Y EJECUTAR LOS PROYECTOS DE INVESTIGACIÓN"/>
    <s v="NO"/>
    <n v="0"/>
    <s v="N.A"/>
    <s v="GESTIÓN CONTRACTUAL"/>
    <s v="JULIO BERNAL"/>
    <n v="3422121"/>
    <s v="julio.bernal@caroycuervo.gov.co "/>
    <s v="VIVIANA NIETO"/>
    <m/>
    <m/>
    <m/>
    <m/>
    <s v="N.A"/>
  </r>
  <r>
    <n v="60103600"/>
    <s v="ACADÉMICA"/>
    <s v="INVESTIGACIÓN"/>
    <s v="INVESTIGACIÓN"/>
    <s v="IMPACTO DE LA RETROALIMENTACIÓN ESCRITA EN EL APRONDIZAJE DE LOS ESTUDIANTES DE LENGUAS EXTRANJERAS EN AMBIENTES DE APRENDIZAJE UN ESTUDIO MULTICASOS"/>
    <s v="INSCRIPCIÓN AL VIII CONGRESO INTERNACIONAL SOBRE LA ENSEÑANZA DEL ESPAÑOL"/>
    <n v="6"/>
    <m/>
    <n v="0"/>
    <n v="0"/>
    <s v="CONTRATACIÓN DIRECTA"/>
    <x v="1"/>
    <n v="390000"/>
    <m/>
    <n v="390000"/>
    <m/>
    <n v="2018011000290"/>
    <x v="0"/>
    <s v="C-3302-1603-2-0-3302070"/>
    <x v="1"/>
    <s v="REALIZAR ACTIVIDADES DE CONSOLIDACIÓN ACADÉMICA"/>
    <s v="NO"/>
    <n v="0"/>
    <s v="N.A"/>
    <s v="GESTIÓN CONTRACTUAL"/>
    <s v="JULIO BERNAL"/>
    <n v="3422121"/>
    <s v="julio.bernal@caroycuervo.gov.co "/>
    <m/>
    <s v="PROYECTO DE SANDRA DÍAZ"/>
    <m/>
    <m/>
    <m/>
    <s v="N.A"/>
  </r>
  <r>
    <n v="80111621"/>
    <s v="ACADÉMICA"/>
    <s v="INVESTIGACIÓN"/>
    <s v="INVESTIGACIÓN"/>
    <s v="MACROPROYECTO NUEVO ATLAS LINGÜÍSTICO - ANTROPOLÓGICO DE COLOMBIA POR REGIONES NALAC FASE 4 AÑO 2022"/>
    <s v="LIDER DIMENSIÓN GEOLINGUÍSTICA"/>
    <n v="1"/>
    <m/>
    <n v="10"/>
    <n v="0"/>
    <s v="CONTRATACIÓN DIRECTA"/>
    <x v="0"/>
    <n v="32923800"/>
    <n v="-2279600"/>
    <n v="30644200"/>
    <n v="3292380"/>
    <n v="2018011000290"/>
    <x v="0"/>
    <s v="C-3302-1603-2-0-3302001"/>
    <x v="2"/>
    <s v="DISEÑAR, APROBAR Y EJECUTAR LOS PROYECTOS DE INVESTIGACIÓN"/>
    <s v="NO"/>
    <n v="0"/>
    <s v="N.A"/>
    <s v="GESTIÓN CONTRACTUAL"/>
    <s v="JULIO BERNAL"/>
    <n v="3422121"/>
    <s v="julio.bernal@caroycuervo.gov.co "/>
    <s v="DANIEL BEJARANO"/>
    <m/>
    <s v="CRISTIAN VELANDIA"/>
    <s v="DANIELA LEÓN"/>
    <s v="LINA ROCHA"/>
    <s v="REQUIERE AJUSTES ADICIONALES AL EP. CAMPOS PRESUPUESTALES YA AJUSTADOS POR PLANEACIÓN ACORDE CON EL PAA"/>
  </r>
  <r>
    <n v="80111621"/>
    <s v="ACADÉMICA"/>
    <s v="INVESTIGACIÓN"/>
    <s v="INVESTIGACIÓN"/>
    <s v="MACROPROYECTO NUEVO ATLAS LINGUISTICO-ANTROPOLOGICO DE COLOMBIA POR REGIONES NALAC FASE 4 AÑO 2022"/>
    <s v="CO INVESTIGADOR DIMENSIÓN GEOLINGUÍSTICA"/>
    <n v="1"/>
    <m/>
    <n v="10"/>
    <n v="0"/>
    <s v="CONTRATACIÓN DIRECTA"/>
    <x v="0"/>
    <n v="18813600"/>
    <m/>
    <n v="18813600"/>
    <n v="1881360"/>
    <n v="2018011000290"/>
    <x v="0"/>
    <s v="C-3302-1603-2-0-3302001"/>
    <x v="2"/>
    <s v="DISEÑAR, APROBAR Y EJECUTAR LOS PROYECTOS DE INVESTIGACIÓN"/>
    <s v="NO"/>
    <n v="0"/>
    <s v="N.A"/>
    <s v="GESTIÓN CONTRACTUAL"/>
    <s v="JULIO BERNAL"/>
    <n v="3422121"/>
    <s v="julio.bernal@caroycuervo.gov.co "/>
    <s v="JHONATAN BONILLA"/>
    <m/>
    <s v="CRISTIAN VELANDIA"/>
    <s v="DANIELA LEÓN"/>
    <s v="LINA ROCHA"/>
    <s v="REQUIERE AJUSTES ADICIONALES AL EP. CAMPOS PRESUPUESTALES YA AJUSTADOS POR PLANEACIÓN ACORDE CON EL PAA"/>
  </r>
  <r>
    <s v="80111621;80111608"/>
    <s v="ACADÉMICA"/>
    <s v="INVESTIGACIÓN"/>
    <s v="INVESTIGACIÓN"/>
    <s v="MACROPROYECTO NUEVO ATLAS LINGUISTICO-ANTROPOLOGICO DE COLOMBIA POR REGIONES NALAC FASE 4 AÑO 2022"/>
    <s v="DESARROLLADOR DIMENSIÓN GEOLINGUÍSTICA"/>
    <n v="1"/>
    <m/>
    <n v="10"/>
    <n v="0"/>
    <s v="CONTRATACIÓN DIRECTA"/>
    <x v="0"/>
    <n v="28220400"/>
    <n v="2279600"/>
    <n v="30500000"/>
    <m/>
    <n v="2018011000290"/>
    <x v="0"/>
    <s v="C-3302-1603-2-0-3302001"/>
    <x v="2"/>
    <s v="DISEÑAR, APROBAR Y EJECUTAR LOS PROYECTOS DE INVESTIGACIÓN"/>
    <s v="NO"/>
    <n v="0"/>
    <s v="N.A"/>
    <s v="GESTIÓN CONTRACTUAL"/>
    <s v="JULIO BERNAL"/>
    <n v="3422121"/>
    <s v="julio.bernal@caroycuervo.gov.co "/>
    <s v="BRAYAN OVIEDO"/>
    <m/>
    <s v="CRISTIAN VELANDIA"/>
    <s v="GERMÁN BOLAÑOS"/>
    <s v="LINA ROCHA"/>
    <s v="REQUIERE AJUSTES ADICIONALES AL EP. CAMPOS PRESUPUESTALES YA AJUSTADOS POR PLANEACIÓN ACORDE CON EL PAA"/>
  </r>
  <r>
    <s v="80111621;  86101710"/>
    <s v="ACADÉMICA"/>
    <s v="INVESTIGACIÓN"/>
    <s v="INVESTIGACIÓN"/>
    <s v="MACROPROYECTO NUEVO ATLAS LINGUISTICO-ANTROPOLOGICO DE COLOMBIA POR REGIONES NALAC FASE 4 AÑO 2022"/>
    <s v="LIDER DIMENSIÓN DE CORPUS Y LEXICOGRÁFICAA"/>
    <n v="1"/>
    <m/>
    <n v="10"/>
    <n v="0"/>
    <s v="CONTRATACIÓN DIRECTA"/>
    <x v="0"/>
    <n v="28163302"/>
    <m/>
    <n v="28163302"/>
    <m/>
    <n v="2018011000290"/>
    <x v="0"/>
    <s v="C-3302-1603-2-0-3302001"/>
    <x v="2"/>
    <s v="DISEÑAR, APROBAR Y EJECUTAR LOS PROYECTOS DE INVESTIGACIÓN"/>
    <s v="NO"/>
    <n v="0"/>
    <s v="N.A"/>
    <s v="GESTIÓN CONTRACTUAL"/>
    <s v="JULIO BERNAL"/>
    <n v="3422121"/>
    <s v="julio.bernal@caroycuervo.gov.co "/>
    <s v="RUTH RUBIO"/>
    <m/>
    <s v="CRISTIAN VELANDIA"/>
    <m/>
    <m/>
    <s v="REQUIERE AJUSTES ADICIONALES AL EP. CAMPOS PRESUPUESTALES YA AJUSTADOS POR PLANEACIÓN ACORDE CON EL PAA"/>
  </r>
  <r>
    <n v="80111621"/>
    <s v="ACADÉMICA"/>
    <s v="INVESTIGACIÓN"/>
    <s v="INVESTIGACIÓN"/>
    <s v="MACROPROYECTO NUEVO ATLAS LINGUISTICO-ANTROPOLOGICO DE COLOMBIA POR REGIONES NALAC FASE 4 AÑO 2022"/>
    <s v="ASISTENTE DIMENSION DE CORPUS Y LEXICOGRÁFICA"/>
    <n v="1"/>
    <m/>
    <n v="10"/>
    <n v="0"/>
    <s v="CONTRATACIÓN DIRECTA"/>
    <x v="0"/>
    <n v="18813600"/>
    <m/>
    <n v="18813600"/>
    <m/>
    <n v="2018011000290"/>
    <x v="0"/>
    <s v="C-3302-1603-2-0-3302001"/>
    <x v="2"/>
    <s v="DISEÑAR, APROBAR Y EJECUTAR LOS PROYECTOS DE INVESTIGACIÓN"/>
    <s v="NO"/>
    <n v="0"/>
    <s v="N.A"/>
    <s v="GESTIÓN CONTRACTUAL"/>
    <s v="JULIO BERNAL"/>
    <n v="3422121"/>
    <s v="julio.bernal@caroycuervo.gov.co "/>
    <s v="LEIDY NATHALIA SOLANO"/>
    <m/>
    <s v="CRISTIAN VELANDIA"/>
    <m/>
    <s v="LINA ROCHA"/>
    <s v="REQUIERE AJUSTES ADICIONALES AL EP. CAMPOS PRESUPUESTALES YA AJUSTADOS POR PLANEACIÓN ACORDE CON EL PAA"/>
  </r>
  <r>
    <n v="80111621"/>
    <s v="ACADÉMICA"/>
    <s v="INVESTIGACIÓN"/>
    <s v="INVESTIGACIÓN"/>
    <s v="MACROPROYECTO NUEVO ATLAS LINGUISTICO-ANTROPOLOGICO DE COLOMBIA POR REGIONES NALAC FASE 4 AÑO 2022"/>
    <s v="LIDER DIMENSIÓN ANTROPOLÓGICA"/>
    <n v="1"/>
    <m/>
    <n v="10"/>
    <n v="0"/>
    <s v="CONTRATACIÓN DIRECTA"/>
    <x v="0"/>
    <n v="32923800"/>
    <m/>
    <n v="32923800"/>
    <m/>
    <n v="2018011000290"/>
    <x v="0"/>
    <s v="C-3302-1603-2-0-3302001"/>
    <x v="2"/>
    <s v="DISEÑAR, APROBAR Y EJECUTAR LOS PROYECTOS DE INVESTIGACIÓN"/>
    <s v="NO"/>
    <n v="0"/>
    <s v="N.A"/>
    <s v="GESTIÓN CONTRACTUAL"/>
    <s v="JULIO BERNAL"/>
    <n v="3422121"/>
    <s v="julio.bernal@caroycuervo.gov.co "/>
    <s v="ALEJANDRO MUNEVAR"/>
    <m/>
    <s v="CRISTIAN VELANDIA"/>
    <s v="GERMÁN BOLAÑOS"/>
    <s v="LINA ROCHA"/>
    <s v="HAY 2 ARCHIVOS DE EP. EP REVISADO CON AJUSTES MENORES PRESUPUESTALES REALIZADOS EN EL EP"/>
  </r>
  <r>
    <n v="80111621"/>
    <s v="ACADÉMICA"/>
    <s v="INVESTIGACIÓN"/>
    <s v="INVESTIGACIÓN"/>
    <s v="MACROPROYECTO NUEVO ATLAS LINGÜÍSTICO - ANTROPOLÓGICO DE COLOMBIA POR REGIONES NALAC FASE 4 AÑO 2022"/>
    <s v="ASISTENTE LEXICOGRAFO PEDAGOGO"/>
    <n v="1"/>
    <m/>
    <n v="10"/>
    <n v="0"/>
    <s v="CONTRATACIÓN DIRECTA"/>
    <x v="0"/>
    <n v="19254649"/>
    <m/>
    <n v="19254649"/>
    <m/>
    <n v="2018011000290"/>
    <x v="0"/>
    <s v="C-3302-1603-2-0-3302001"/>
    <x v="2"/>
    <s v="DISEÑAR, APROBAR Y EJECUTAR LOS PROYECTOS DE INVESTIGACIÓN"/>
    <s v="NO"/>
    <n v="0"/>
    <s v="N.A"/>
    <s v="GESTIÓN CONTRACTUAL"/>
    <s v="JULIO BERNAL"/>
    <n v="3422121"/>
    <s v="julio.bernal@caroycuervo.gov.co "/>
    <s v="UDILUZ MONSALVE"/>
    <m/>
    <s v="CRISTIAN VELANDIA"/>
    <s v="GERMÁN BOLAÑOS"/>
    <s v="LINA ROCHA"/>
    <s v="N.A"/>
  </r>
  <r>
    <n v="81111603"/>
    <s v="ACADÉMICA"/>
    <s v="INVESTIGACIÓN"/>
    <s v="INVESTIGACIÓN"/>
    <s v="MACROPROYECTO NUEVO ATLAS LINGUISTICO-ANTROPOLOGICO DE COLOMBIA POR REGIONES NALAC FASE 4 AÑO 2022"/>
    <s v="DESARROLLADOR DE SISTEMAS"/>
    <n v="1"/>
    <m/>
    <n v="10"/>
    <n v="0"/>
    <s v="CONTRATACIÓN DIRECTA"/>
    <x v="0"/>
    <n v="19254649"/>
    <m/>
    <n v="19254649"/>
    <m/>
    <n v="2018011000290"/>
    <x v="0"/>
    <s v="C-3302-1603-2-0-3302001"/>
    <x v="2"/>
    <s v="DISEÑAR, APROBAR Y EJECUTAR LOS PROYECTOS DE INVESTIGACIÓN"/>
    <s v="NO"/>
    <n v="0"/>
    <s v="N.A"/>
    <s v="GESTIÓN CONTRACTUAL"/>
    <s v="JULIO BERNAL"/>
    <n v="3422121"/>
    <s v="julio.bernal@caroycuervo.gov.co "/>
    <s v="ANDRES STEBAN LUNA"/>
    <s v="UNIFICAR"/>
    <s v="CRISTIAN VELANDIA"/>
    <m/>
    <m/>
    <s v="HAY 2 ARCHIVOS DE EP. UNIFICAR EP; REQUIERE AJUSTES ADICIONALES AL EP. CAMPOS PRESUPUESTALES YA AJUSTADOS POR PLANEACIÓN ACORDE CON EL PAA"/>
  </r>
  <r>
    <n v="80111621"/>
    <s v="ACADÉMICA"/>
    <s v="INVESTIGACIÓN"/>
    <s v="INVESTIGACIÓN"/>
    <s v="MACROPROYECTO NUEVO ATLAS LINGUISTICO-ANTROPOLOGICO DE COLOMBIA POR REGIONES NALAC FASE 4 AÑO 2022"/>
    <s v="ASISTENTE INTERDIMENSIONES NALAC"/>
    <n v="1"/>
    <m/>
    <n v="10"/>
    <n v="0"/>
    <s v="CONTRATACIÓN DIRECTA"/>
    <x v="0"/>
    <n v="15756390"/>
    <m/>
    <n v="15756390"/>
    <n v="1575639"/>
    <n v="2018011000290"/>
    <x v="0"/>
    <s v="C-3302-1603-2-0-3302001"/>
    <x v="2"/>
    <s v="DISEÑAR, APROBAR Y EJECUTAR LOS PROYECTOS DE INVESTIGACIÓN"/>
    <s v="NO"/>
    <n v="0"/>
    <s v="N.A"/>
    <s v="GESTIÓN CONTRACTUAL"/>
    <s v="JULIO BERNAL"/>
    <n v="3422121"/>
    <s v="julio.bernal@caroycuervo.gov.co "/>
    <s v="SINDY RAMIREZ"/>
    <m/>
    <s v="CRISTIAN VELANDIA"/>
    <s v="DANIELA LEÓN"/>
    <s v="MARCELA GUALTEROS"/>
    <s v="EP REVISADO CON AJUSTES MENORES PRESUPUESTALES REALIZADOS EN EL EP"/>
  </r>
  <r>
    <n v="80111621"/>
    <s v="ACADÉMICA"/>
    <s v="INVESTIGACIÓN"/>
    <s v="INVESTIGACIÓN"/>
    <s v="NACIÓN CULTURAL VS. FRONTERAS POLÍTICAS Y_x000a_LINGÜÍSTICAS II: POÉTICAS TRANSFRONTERIZAS AFRO_x000a_ENACIÓN CULTURAL VS. FRONTERAS POLÍTICAS Y_x000a_LINGÜÍSTICAS II: POÉTICAS TRANSFRONTERIZAS AFRO_x000a_E INDÍGENAS"/>
    <s v="ASISTENTE DE INVESTIGACIÓN"/>
    <n v="1"/>
    <m/>
    <n v="10"/>
    <n v="0"/>
    <s v="CONTRATACIÓN DIRECTA"/>
    <x v="0"/>
    <n v="28922400"/>
    <m/>
    <n v="28922400"/>
    <m/>
    <n v="2018011000290"/>
    <x v="0"/>
    <s v="C-3302-1603-2-0-3302001"/>
    <x v="2"/>
    <s v="DISEÑAR, APROBAR Y EJECUTAR LOS PROYECTOS DE INVESTIGACIÓN"/>
    <s v="NO"/>
    <n v="0"/>
    <s v="N.A"/>
    <s v="GESTIÓN CONTRACTUAL"/>
    <s v="JULIO BERNAL"/>
    <n v="3422121"/>
    <s v="julio.bernal@caroycuervo.gov.co "/>
    <s v="PETER RONDÓN"/>
    <m/>
    <s v="CRISTIAN VELANDIA"/>
    <m/>
    <m/>
    <s v="REQUIERE AJUSTES ADICIONALES AL EP. CAMPOS PRESUPUESTALES YA AJUSTADOS POR PLANEACIÓN ACORDE CON EL PAA"/>
  </r>
  <r>
    <n v="60103600"/>
    <s v="ACADÉMICA"/>
    <s v="INVESTIGACIÓN"/>
    <s v="INVESTIGACIÓN"/>
    <s v="ASISTENCIA AUTOMÁTICA PARA LA EVALUACIÓN Y ENSEÑANZA DE LA COMPETENCIA ESCRITA EN GRANDES COMUNIDADES EDUCATIVAS (PRUEBA DE CONCEPTO DEL MODELO DE EVALUACIÓN)"/>
    <s v="PAGO ARTÍCULO ARTICLE PROCESSING CHARGES APC "/>
    <n v="1"/>
    <m/>
    <n v="0"/>
    <n v="0"/>
    <s v="CONTRATACIÓN DIRECTA"/>
    <x v="1"/>
    <n v="3816000"/>
    <m/>
    <n v="3816000"/>
    <m/>
    <n v="2018011000290"/>
    <x v="0"/>
    <s v="C-3302-1603-2-0-3302070"/>
    <x v="1"/>
    <s v="REALIZAR ACTIVIDADES DE CONSOLIDACIÓN ACADÉMICA"/>
    <s v="NO"/>
    <n v="0"/>
    <s v="N.A"/>
    <s v="GESTIÓN CONTRACTUAL"/>
    <s v="JULIO BERNAL"/>
    <n v="3422121"/>
    <s v="julio.bernal@caroycuervo.gov.co "/>
    <s v="SERGIO JIMENEZ"/>
    <m/>
    <m/>
    <m/>
    <m/>
    <s v="N.A"/>
  </r>
  <r>
    <n v="80111621"/>
    <s v="ACADÉMICA"/>
    <s v="INVESTIGACIÓN"/>
    <s v="INVESTIGACIÓN"/>
    <s v="ANÁLISIS CONTRASTIVO LSC-L2 DE LOS SORDOS (FASE 2): CORPUES PARALELO DE UNIDADES LEXICAS LSC Y ESPAÑOL"/>
    <s v="CONTRATO SERVICIOS TÉCNICOS SEGMENTACIÓN Y TRANSCRIPCIÓN DEL DE GLOSAS EN VIDEO  EL PERFIL DE TRANSCRIPTORES_x000a_1). PROFESIONALES O ESTUDIANTES UNIVERSITARIOS DE ÚLTIMO SEMESTRE CON AMPLIO CONOCIMIENTO EN SEGMENTACIÓN Y TRANSCRIPCIÓN CON EL SOFTWARE ELAN. TAMBIÉN PUEDEN SER PERSONAS SORDAS BACHILLERES QUE TAMBIÉN ACREDITEN ENTRENAMIENTO Y EXPERIENCIA EN EL USO DE ELAN._x000a_2).CONOCIMIENTO BÁSICO DE LENGUA DE SEÑAS COLOMBIANA (LSC)"/>
    <n v="6"/>
    <m/>
    <n v="0"/>
    <n v="0"/>
    <s v="CONTRATACIÓN DIRECTA"/>
    <x v="0"/>
    <n v="1800000"/>
    <m/>
    <n v="1800000"/>
    <m/>
    <n v="2018011000290"/>
    <x v="0"/>
    <s v="C-3302-1603-2-0-3302001"/>
    <x v="2"/>
    <s v="DISEÑAR, APROBAR Y EJECUTAR LOS PROYECTOS DE INVESTIGACIÓN"/>
    <s v="NO"/>
    <n v="0"/>
    <s v="N.A"/>
    <s v="GESTIÓN CONTRACTUAL"/>
    <s v="JULIO BERNAL"/>
    <n v="3422121"/>
    <s v="julio.bernal@caroycuervo.gov.co "/>
    <m/>
    <s v="PROYECTO DE ALEX GIOVANY BARRETO"/>
    <m/>
    <m/>
    <m/>
    <s v="N.A"/>
  </r>
  <r>
    <n v="60103600"/>
    <s v="ACADÉMICA"/>
    <s v="INVESTIGACIÓN"/>
    <s v="INVESTIGACIÓN"/>
    <s v="ANÁLISIS CONTRASTIVO LSC-L2 DE LOS SORDOS (FASE 2): CORPUES PARALELO DE UNIDADES LEXICAS LSC Y ESPAÑOL"/>
    <s v="PAGO INSCRIPCIÓN EVENTO 240 DÓLARES_x000a_3º CONGRESO NACIONAL DE PESQUISAS EM LINGUÍSTCICA E LINGUAS DE SINAIS/ 7 CONGRESSO NACIONAL DE PESQUISAS EN TRADUCAO E INTERPRETACAO DE LIBRAR E LINGUA PORTUGUESA/4 SEMINARIO FRANCO-BRASILEIRO DE ESTUDIOS SURDOS: LINGUAS DE SINAIS, ARTES E TRADUCAO E INTERPRETACAO_x000a__x000a_FECHA: 27 DE JUNIO DE 2022 A 1 JULIO DE 2022_x000a_FECHAS LÍMITE DE PAGO: _x000a_HASTA EL 20 DE ENERO DE 2022, USD$100_x000a_HASTA EL 30 DE MARZODE 2022, USD$170_x000a_EN EL SITIO DEL EVENTO 29 DE JUNIO DE 2022, USD$240"/>
    <n v="3"/>
    <m/>
    <n v="0"/>
    <n v="0"/>
    <s v="CONTRATACIÓN DIRECTA"/>
    <x v="1"/>
    <n v="960000"/>
    <m/>
    <n v="960000"/>
    <m/>
    <n v="2018011000290"/>
    <x v="0"/>
    <s v="C-3302-1603-2-0-3302070"/>
    <x v="1"/>
    <s v="REALIZAR ACTIVIDADES DE CONSOLIDACIÓN ACADÉMICA"/>
    <s v="NO"/>
    <n v="0"/>
    <s v="N.A"/>
    <s v="GESTIÓN CONTRACTUAL"/>
    <s v="JULIO BERNAL"/>
    <n v="3422121"/>
    <s v="julio.bernal@caroycuervo.gov.co "/>
    <m/>
    <s v="PROYECTO DE ALEX GIOVANY BARRETO"/>
    <m/>
    <m/>
    <m/>
    <s v="N.A"/>
  </r>
  <r>
    <n v="80111621"/>
    <s v="ACADÉMICA"/>
    <s v="INVESTIGACIÓN"/>
    <s v="INVESTIGACIÓN"/>
    <s v="DICCIONARIO LENGUA INDÍGENA ANDOQUE"/>
    <s v="ASISTENTE DE INVESTIGACIÓN"/>
    <n v="1"/>
    <m/>
    <n v="10"/>
    <n v="0"/>
    <s v="CONTRATACIÓN DIRECTA"/>
    <x v="0"/>
    <n v="12000000"/>
    <m/>
    <n v="12000000"/>
    <n v="1200000"/>
    <n v="2018011000290"/>
    <x v="0"/>
    <s v="C-3302-1603-2-0-3302001"/>
    <x v="2"/>
    <s v="DISEÑAR, APROBAR Y EJECUTAR LOS PROYECTOS DE INVESTIGACIÓN"/>
    <s v="NO"/>
    <n v="0"/>
    <s v="N.A"/>
    <s v="GESTIÓN CONTRACTUAL"/>
    <s v="JULIO BERNAL"/>
    <n v="3422121"/>
    <s v="julio.bernal@caroycuervo.gov.co "/>
    <s v="LEIDY STELLA CALDERÓN"/>
    <m/>
    <s v="CRISTIAN VELANDIA"/>
    <s v="DANIELA LEÓN"/>
    <m/>
    <s v="REQUIERE AJUSTES ADICIONALES AL EP. CAMPOS PRESUPUESTALES YA AJUSTADOS POR PLANEACIÓN ACORDE CON EL PAA"/>
  </r>
  <r>
    <n v="80111621"/>
    <s v="ACADÉMICA"/>
    <s v="INVESTIGACIÓN"/>
    <s v="INVESTIGACIÓN"/>
    <s v="DICCIONARIO LENGUA INDÍGENA ANDOQUE"/>
    <s v="ASISTENTE DE INVESTIGACIÓN"/>
    <n v="1"/>
    <m/>
    <n v="10"/>
    <n v="0"/>
    <s v="CONTRATACIÓN DIRECTA"/>
    <x v="0"/>
    <n v="12000000"/>
    <m/>
    <n v="12000000"/>
    <n v="1200000"/>
    <n v="2018011000290"/>
    <x v="0"/>
    <s v="C-3302-1603-2-0-3302001"/>
    <x v="2"/>
    <s v="DISEÑAR, APROBAR Y EJECUTAR LOS PROYECTOS DE INVESTIGACIÓN"/>
    <s v="NO"/>
    <n v="0"/>
    <s v="N.A"/>
    <s v="GESTIÓN CONTRACTUAL"/>
    <s v="JULIO BERNAL"/>
    <n v="3422121"/>
    <s v="julio.bernal@caroycuervo.gov.co "/>
    <s v="LINA MARÍA GARCÍA"/>
    <m/>
    <s v="CRISTIAN VELANDIA"/>
    <s v="DANIELA LEÓN"/>
    <m/>
    <s v="EP REVISADO CON AJUSTES MENORES PRESUPUESTALES REALIZADOS EN EL EP"/>
  </r>
  <r>
    <n v="80111621"/>
    <s v="ACADÉMICA"/>
    <s v="INVESTIGACIÓN"/>
    <s v="INVESTIGACIÓN"/>
    <s v="DOCUMENTOS PARA LA HISTORIA LINGÜÍSTICA DE COLOMBIA SIGLOS XVI- XIX SEGUNDA FASE (2021-2022) VIGENCIA 2022"/>
    <s v="CONTRATO INVESTIGADOR"/>
    <n v="1"/>
    <m/>
    <n v="10"/>
    <n v="0"/>
    <s v="CONTRATACIÓN DIRECTA"/>
    <x v="0"/>
    <n v="32923800"/>
    <m/>
    <n v="32923800"/>
    <n v="3292380"/>
    <n v="2018011000290"/>
    <x v="0"/>
    <s v="C-3302-1603-2-0-3302001"/>
    <x v="2"/>
    <s v="DISEÑAR, APROBAR Y EJECUTAR LOS PROYECTOS DE INVESTIGACIÓN"/>
    <s v="NO"/>
    <n v="0"/>
    <s v="N.A"/>
    <s v="GESTIÓN CONTRACTUAL"/>
    <s v="JULIO BERNAL"/>
    <n v="3422121"/>
    <s v="julio.bernal@caroycuervo.gov.co "/>
    <s v="EDWIN ALGARRA"/>
    <m/>
    <s v="CRISTIAN VELANDIA"/>
    <s v="DANIELA LEÓN"/>
    <m/>
    <s v="N.A"/>
  </r>
  <r>
    <n v="80111621"/>
    <s v="ACADÉMICA"/>
    <s v="INVESTIGACIÓN"/>
    <s v="INVESTIGACIÓN"/>
    <s v="DOCUMENTOS PARA LA HISTORIA LINGÜÍSTICA DE COLOMBIA SIGLOS XVI- XIX SEGUNDA FASE (2021-2022) VIGENCIA 2022"/>
    <s v="CONTRATO ASISTENTE DE INVESTIGACIÓN"/>
    <n v="1"/>
    <m/>
    <n v="10"/>
    <n v="0"/>
    <s v="CONTRATACIÓN DIRECTA"/>
    <x v="0"/>
    <n v="23400000"/>
    <m/>
    <n v="23400000"/>
    <m/>
    <n v="2018011000290"/>
    <x v="0"/>
    <s v="C-3302-1603-2-0-3302001"/>
    <x v="2"/>
    <s v="DISEÑAR, APROBAR Y EJECUTAR LOS PROYECTOS DE INVESTIGACIÓN"/>
    <s v="NO"/>
    <n v="0"/>
    <s v="N.A"/>
    <s v="GESTIÓN CONTRACTUAL"/>
    <s v="JULIO BERNAL"/>
    <n v="3422121"/>
    <s v="julio.bernal@caroycuervo.gov.co "/>
    <s v="ANA C RODRIGUEZ"/>
    <m/>
    <s v="CRISTIAN VELANDIA"/>
    <m/>
    <m/>
    <s v="EP REVISADO CON AJUSTES MENORES PRESUPUESTALES REALIZADOS EN EL EP"/>
  </r>
  <r>
    <n v="82111801"/>
    <s v="ACADÉMICA"/>
    <s v="GRUPO DE PROCESOS EDITORIALES"/>
    <s v="APROPIACIÓN SOCIAL DEL CONOCIMIENTO"/>
    <s v="PROYECTO DE EMPRENDIMIENTO DE LA IMPRENTA PATRIÓTICA"/>
    <s v="CONTRATACIÓN DE APOYO PARA ENCUADERNACIÓN EN PASTA DURA PARA LOS PROYECTOS DE DIRECCIÓN DE PATRIMONIO Y SELLO EDITORIAL"/>
    <n v="1"/>
    <n v="1"/>
    <n v="9"/>
    <n v="0"/>
    <s v="CONTRATACIÓN DIRECTA"/>
    <x v="0"/>
    <n v="16200000"/>
    <m/>
    <n v="16200000"/>
    <m/>
    <n v="2018011000290"/>
    <x v="0"/>
    <s v="C-3302-1603-2-0-3302070"/>
    <x v="1"/>
    <s v="REALIZAR ACTIVIDADES DE CONSOLIDACIÓN ACADÉMICA"/>
    <s v="NO"/>
    <n v="0"/>
    <s v="N.A"/>
    <s v="GESTIÓN CONTRACTUAL"/>
    <s v="CESAR BUITRAGO"/>
    <n v="3422121"/>
    <s v="cesar.buitrago@caroycuervo.gov.co "/>
    <s v="VICTOR SALAZAR"/>
    <s v="Reducir dos semanas"/>
    <s v="CRISTIAN VELANDIA"/>
    <m/>
    <m/>
    <m/>
  </r>
  <r>
    <n v="86101700"/>
    <s v="ACADÉMICA"/>
    <s v="SUBDIRECCIÓN ACADÉMICA"/>
    <s v="FORMACIÓN"/>
    <s v="SUBDIRECCIÓN ACADÉMICA"/>
    <s v="EVALUADORES CUENTOS LA PERA DE ORO"/>
    <n v="7"/>
    <n v="7"/>
    <n v="1"/>
    <n v="0"/>
    <s v="CONTRATACIÓN DIRECTA"/>
    <x v="0"/>
    <n v="25000000"/>
    <m/>
    <n v="25000000"/>
    <m/>
    <n v="2018011000290"/>
    <x v="0"/>
    <s v="C-3302-1603-2-0-3302070"/>
    <x v="1"/>
    <s v="REALIZAR ACTIVIDADES DE CONSOLIDACIÓN ACADÉMICA"/>
    <s v="NO"/>
    <n v="0"/>
    <s v="N.A"/>
    <s v="GESTIÓN CONTRACTUAL"/>
    <s v="JUAN MANUEL ESPINOSA RESTREPO"/>
    <n v="3422121"/>
    <s v="juan.espinosa@caroycuervo.gov.co"/>
    <s v="N.A"/>
    <s v="CONVENIO"/>
    <m/>
    <m/>
    <m/>
    <s v="Revisar convenio para definir acuerdos"/>
  </r>
  <r>
    <n v="5600000"/>
    <s v="ACADÉMICA"/>
    <s v="GRUPO DE PROCESOS EDITORIALES"/>
    <s v="APROPIACIÓN SOCIAL DEL CONOCIMIENTO"/>
    <s v="EDITORIAL"/>
    <s v="PAGO ELABORACIÓN Y MONTAJE STAND PARA LA FERIA INTERNACIONAL DEL LIBRO DE BOGOTÁ 2022"/>
    <n v="3"/>
    <n v="3"/>
    <n v="2"/>
    <n v="0"/>
    <s v="MINIMA CUANTÍA"/>
    <x v="1"/>
    <n v="20000000"/>
    <m/>
    <n v="20000000"/>
    <m/>
    <n v="2018011000290"/>
    <x v="0"/>
    <s v="C-3302-1603-2-0-3302070"/>
    <x v="1"/>
    <s v="REALIZAR ACTIVIDADES DE CONSOLIDACIÓN ACADÉMICA"/>
    <s v="NO"/>
    <n v="0"/>
    <s v="N.A"/>
    <s v="GESTIÓN CONTRACTUAL"/>
    <s v="JUAN MANUEL ESPINOSA RESTREPO"/>
    <n v="3422121"/>
    <s v="cesar.buitrago@caroycuervo.gov.co "/>
    <s v="N.A"/>
    <s v="Revisar diseño en 2021 por funcionamiento"/>
    <m/>
    <m/>
    <m/>
    <m/>
  </r>
  <r>
    <n v="82140000"/>
    <s v="ACADÉMICA"/>
    <s v="GRUPO DE PROCESOS EDITORIALES"/>
    <s v="APROPIACIÓN SOCIAL DEL CONOCIMIENTO"/>
    <s v="SELLO EDITORIAL E IMPRENTA PATRIÓTICA"/>
    <s v="CONTRATACIÓN DE DISEÑO PARA PROYECTOS ESPECIALES"/>
    <n v="2"/>
    <n v="2"/>
    <n v="10"/>
    <n v="0"/>
    <s v="CONTRATACIÓN DIRECTA"/>
    <x v="0"/>
    <n v="25000000"/>
    <m/>
    <n v="25000000"/>
    <m/>
    <n v="2018011000284"/>
    <x v="2"/>
    <s v="C-3399-1603-4-0-3399016"/>
    <x v="5"/>
    <s v="REALIZAR MANTENIMIENTO A ELEMENTOS NO ESTRUCTURALES DE LAS SEDES "/>
    <s v="NO"/>
    <n v="0"/>
    <s v="N.A"/>
    <s v="GESTIÓN CONTRACTUAL"/>
    <s v="CESAR BUITRAGO"/>
    <n v="3422121"/>
    <s v="cesar.buitrago@caroycuervo.gov.co "/>
    <s v="NEFTALÍ VANEGAS"/>
    <s v="Se ajusta valor proyectado"/>
    <m/>
    <m/>
    <m/>
    <m/>
  </r>
  <r>
    <n v="82111801"/>
    <s v="ACADÉMICA"/>
    <s v="SUBDIRECCIÓN ACADÉMICA"/>
    <s v="FORMACIÓN"/>
    <s v="SUBDIRECCIÓN ACADÉMICA"/>
    <s v="CONTRATACIÓN  PARA PRESTAR LOS SERVICIOS PROFESIONALES ESPECIALIZADOS EN COMUNICACIÓN SOCIAL -ÉNFASIS EN LÍNEA EDITORIAL- COMO EDITORA ASISTENTE DE LA REVISTA THESAURUS "/>
    <n v="1"/>
    <n v="1"/>
    <n v="10"/>
    <n v="0"/>
    <s v="CONTRATACIÓN DIRECTA"/>
    <x v="0"/>
    <n v="23700676"/>
    <m/>
    <n v="23700676"/>
    <m/>
    <n v="2018011000290"/>
    <x v="0"/>
    <s v="C-3302-1603-2-0-3302070"/>
    <x v="1"/>
    <s v="REALIZAR ACTIVIDADES DE CONSOLIDACIÓN ACADÉMICA"/>
    <s v="NO"/>
    <n v="0"/>
    <s v="N.A"/>
    <s v="GESTIÓN CONTRACTUAL"/>
    <s v="JUAN MANUEL ESPINOSA RESTREPO"/>
    <n v="3422121"/>
    <s v="juan.espinosa@caroycuervo.gov.co"/>
    <s v="MARTHA SUSANA RUDAS"/>
    <s v="Se ajusta valor proyectado"/>
    <m/>
    <m/>
    <m/>
    <m/>
  </r>
  <r>
    <s v="82121603; 82121503"/>
    <s v="ACADÉMICA"/>
    <s v="GRUPO DE PROCESOS EDITORIALES"/>
    <s v="APROPIACIÓN SOCIAL DEL CONOCIMIENTO"/>
    <s v="SELLO EDITORIAL E IMPRENTA PATRIÓTICA"/>
    <s v="SERVICIOS DE IMPRESIÓN EXTERNA Y QUEMADO DE PLANCHAS, SERVICIOS CTP"/>
    <n v="2"/>
    <n v="2"/>
    <n v="10"/>
    <n v="0"/>
    <s v="MINIMA CUANTÍA"/>
    <x v="0"/>
    <n v="30000000"/>
    <m/>
    <n v="30000000"/>
    <m/>
    <n v="2018011000290"/>
    <x v="0"/>
    <s v="C-3302-1603-2-0-3302070"/>
    <x v="1"/>
    <s v="REALIZAR ACTIVIDADES DE CONSOLIDACIÓN ACADÉMICA"/>
    <s v="NO"/>
    <n v="0"/>
    <s v="N.A"/>
    <s v="GESTIÓN CONTRACTUAL"/>
    <s v="CESAR BUITRAGO"/>
    <n v="3422121"/>
    <s v="cesar.buitrago@caroycuervo.gov.co "/>
    <s v="N.A"/>
    <s v="Se ajusta valor. En caso de requerir recursos adicionales, se  revisará con recursos que se vayan liberando en la vigencia"/>
    <m/>
    <m/>
    <m/>
    <m/>
  </r>
  <r>
    <s v="14120000; 14129600; 14117900; 60121808; 21271703; 6012132"/>
    <s v="ACADÉMICA"/>
    <s v="GRUPO DE PROCESOS EDITORIALES"/>
    <s v="APROPIACIÓN SOCIAL DEL CONOCIMIENTO"/>
    <s v="SELLO EDITORIAL E IMPRENTA PATRIÓTICA"/>
    <s v="COMPRA DE INSUMOS (PAPELES, CARTULINAS, LAVADORES ECOLÓGICOS DE MÁQUINAS IMPRESORAS, PAPELES FINOS, LECHE DE BURRA (LIMPIADOR DE PLANCHAS), CARTONES DE ENCUADERNACIÓN FINA, ESTOPA PARA LIMPIEZA DE RODILLOS, TINTAS)."/>
    <n v="2"/>
    <n v="2"/>
    <n v="2"/>
    <n v="0"/>
    <s v="MINIMA CUANTÍA"/>
    <x v="0"/>
    <n v="18000000"/>
    <m/>
    <n v="18000000"/>
    <m/>
    <n v="2018011000290"/>
    <x v="0"/>
    <s v="C-3302-1603-2-0-3302070"/>
    <x v="1"/>
    <s v="REALIZAR ACTIVIDADES DE CONSOLIDACIÓN ACADÉMICA"/>
    <s v="NO"/>
    <n v="0"/>
    <s v="N.A"/>
    <s v="GESTIÓN CONTRACTUAL"/>
    <s v="CESAR BUITRAGO"/>
    <n v="3422121"/>
    <s v="cesar.buitrago@caroycuervo.gov.co "/>
    <s v="N.A"/>
    <s v="Se avanzó en una parte de la adquisición en el 2021 (proceso declarado desierto)"/>
    <m/>
    <m/>
    <m/>
    <m/>
  </r>
  <r>
    <n v="83121700"/>
    <s v="ACADÉMICA"/>
    <s v="EQUIPO DE COMUNICACIONES Y PRENSA"/>
    <s v="INFORMACIÓN Y COMUNICACIÓN"/>
    <s v="COMUNICACIONES Y PRENSA "/>
    <s v="SERVICIOS DE ASESORÍA ESTRATÉGICA EN COMUNICACIONES"/>
    <n v="1"/>
    <n v="1"/>
    <n v="8"/>
    <n v="0"/>
    <s v="CONTRATACIÓN DIRECTA"/>
    <x v="0"/>
    <n v="57148025"/>
    <n v="2851975"/>
    <n v="60000000"/>
    <m/>
    <n v="2018011000290"/>
    <x v="0"/>
    <s v="C-3302-1603-2-0-3302070"/>
    <x v="1"/>
    <s v="REALIZAR ACTIVIDADES DE CONSOLIDACIÓN ACADÉMICA"/>
    <s v="NO"/>
    <n v="0"/>
    <s v="N.A"/>
    <s v="GESTIÓN CONTRACTUAL"/>
    <s v="JUAN MANUEL ESPINOSA RESTREPO"/>
    <n v="3422121"/>
    <s v="juan.espinosa@caroycuervo.gov.co"/>
    <s v="CLAUDIA HURTADO"/>
    <s v="Se incremente valor mensual debibo a que se adicionan actividades nuevas y se reduce plazo del contrato a 10,5 meses "/>
    <s v="CRISTIAN VELANDIA"/>
    <s v="GERMÁN BOLAÑOS"/>
    <m/>
    <m/>
  </r>
  <r>
    <n v="83121703"/>
    <s v="ACADÉMICA"/>
    <s v="EQUIPO DE COMUNICACIONES Y PRENSA"/>
    <s v="INFORMACIÓN Y COMUNICACIÓN"/>
    <s v="COMUNICACIONES Y PRENSA "/>
    <s v="SERVICIO DE GESTOR DE CONTENIDOS EN INTERNET (REDES SOCIALES)"/>
    <n v="1"/>
    <n v="1"/>
    <n v="11"/>
    <n v="0"/>
    <s v="CONTRATACIÓN DIRECTA"/>
    <x v="0"/>
    <n v="36740000"/>
    <m/>
    <n v="36740000"/>
    <n v="3340000"/>
    <n v="2018011000290"/>
    <x v="0"/>
    <s v="C-3302-1603-2-0-3302070"/>
    <x v="1"/>
    <s v="REALIZAR ACTIVIDADES DE CONSOLIDACIÓN ACADÉMICA"/>
    <s v="NO"/>
    <n v="0"/>
    <s v="N.A"/>
    <s v="GESTIÓN CONTRACTUAL"/>
    <s v="JUAN MANUEL ESPINOSA RESTREPO"/>
    <n v="3422121"/>
    <s v="juan.espinosa@caroycuervo.gov.co"/>
    <s v="MARÍA FERNANDA MOROS"/>
    <s v="Se incremente valor mensual debibo a que se adicionan actividades nuevas y se reduce plazo del contrato a 10,5 meses "/>
    <s v="CRISTIAN VELANDIA"/>
    <s v="DANIELA LEÓN"/>
    <s v="CINDY FLORIDO"/>
    <m/>
  </r>
  <r>
    <n v="86141704"/>
    <s v="ACADÉMICA"/>
    <s v="GRUPO DE BIBLIOTECA"/>
    <s v="INVESTIGACIÓN"/>
    <s v="PROCESAMIENTO TÉCNICO DEL MATERIAL BIBLIOGRÁFICO"/>
    <s v="PROCESAMIENTO TÉCNICO (CATALOGACIÓN Y CLASIFICACIÓN) DEL MATERIAL BIBLIOGRÁFICO (NUEVO Y RETROSPECTIVO) RECIBIDO EN LA BIBLIOTECA, E INGRESO AL SISTEMA DE INFORMACIÓN BIBLIOGRÁFICO KOHA Y ORGANIZACIÓN DE LOS ARCHIVOS PATRIMONIALES."/>
    <n v="1"/>
    <n v="1"/>
    <n v="10"/>
    <n v="15"/>
    <s v="CONTRATACIÓN DIRECTA"/>
    <x v="0"/>
    <n v="44945452"/>
    <m/>
    <n v="44945452"/>
    <n v="4280519"/>
    <n v="2018011000290"/>
    <x v="0"/>
    <s v="C-3302-1603-2-0-3302070"/>
    <x v="1"/>
    <s v="REALIZAR ACTIVIDADES DE CONSOLIDACIÓN ACADÉMICA"/>
    <s v="NO"/>
    <n v="0"/>
    <s v="N.A"/>
    <s v="GESTIÓN CONTRACTUAL"/>
    <s v="LUZ CLEMENCIA MEJÍA MUÑOZ"/>
    <n v="3422121"/>
    <s v="biblioteca@caroycuervo.gov.co "/>
    <s v="NURY AYALA"/>
    <s v="Se reduce contrato PS a 10,5 meses"/>
    <s v="CRISTIAN VELANDIA"/>
    <s v="DANIELA LEÓN"/>
    <s v="CINDY FLORIDO"/>
    <m/>
  </r>
  <r>
    <n v="86141704"/>
    <s v="ACADÉMICA"/>
    <s v="GRUPO DE BIBLIOTECA"/>
    <s v="INVESTIGACIÓN"/>
    <s v="PROCESAMIENTO TÉCNICO DEL MATERIAL BIBLIOGRÁFICO"/>
    <s v="NORMALIZAR Y DEPURAR  2.000 TÍTULOS RETROSPECTIVOS, ASI COMO TAMBIEN VALIDAR Y  ASIGNAR  EL PRECIO, CON EL FIN DE AVANZAR EN EL TEMA DEL CONTROL CONTABLE DE LAS COLECCIONES EN LA BASE DE DATOS DATOS BIBLIOGRÁFICA."/>
    <n v="1"/>
    <n v="1"/>
    <n v="10"/>
    <n v="15"/>
    <s v="CONTRATACIÓN DIRECTA"/>
    <x v="0"/>
    <n v="21630000"/>
    <m/>
    <n v="21630000"/>
    <n v="2060000"/>
    <n v="2018011000319"/>
    <x v="1"/>
    <s v="C-3301-1603-2-0-3301085"/>
    <x v="3"/>
    <s v="ADQUIRIR LAS HERRAMIENTAS TECNOLÓGICAS PARA GARANTIZAR EL FUNCIONAMIENTO DE LA BIBLIOTECA"/>
    <s v="NO"/>
    <n v="0"/>
    <s v="N.A"/>
    <s v="GESTIÓN CONTRACTUAL"/>
    <s v="LUZ CLEMENCIA MEJÍA MUÑOZ"/>
    <n v="3422121"/>
    <s v="biblioteca@caroycuervo.gov.co "/>
    <s v="VICTORIA PARDO"/>
    <s v="Se reduce contrato PS a 10,5 meses"/>
    <s v="CRISTIAN VELANDIA"/>
    <s v="DANIELA LEÓN"/>
    <s v="CINDY FLORIDO"/>
    <m/>
  </r>
  <r>
    <n v="86141704"/>
    <s v="ACADÉMICA"/>
    <s v="GRUPO DE BIBLIOTECA"/>
    <s v="INVESTIGACIÓN"/>
    <s v="PROCESAMIENTO TÉCNICO DEL MATERIAL BIBLIOGRÁFICO"/>
    <s v="REALIZAR LA PREPARACIÓN FÍSICA (ROTULADO, SELLADO, ASIGNACIÓN DE CÓDIGO DE BARRAS Y DIPOSITIVOS DE CONTROL) A 1300 ÍTEMS DEL MATERIAL BIBLIOGRÁFICO ADQUIRIDO, ASÍ COMO DEL RETOSPECTIVO NORMALIZADO."/>
    <n v="1"/>
    <n v="1"/>
    <n v="10"/>
    <n v="15"/>
    <s v="CONTRATACIÓN DIRECTA"/>
    <x v="0"/>
    <n v="20974545"/>
    <m/>
    <n v="20974545"/>
    <n v="1997575"/>
    <n v="2018011000319"/>
    <x v="1"/>
    <s v="C-3301-1603-2-0-3301085"/>
    <x v="3"/>
    <s v="ADQUIRIR LAS HERRAMIENTAS TECNOLÓGICAS PARA GARANTIZAR EL FUNCIONAMIENTO DE LA BIBLIOTECA"/>
    <s v="NO"/>
    <n v="0"/>
    <s v="N.A"/>
    <s v="GESTIÓN CONTRACTUAL"/>
    <s v="LUZ CLEMENCIA MEJÍA MUÑOZ"/>
    <n v="3422121"/>
    <s v="biblioteca@caroycuervo.gov.co "/>
    <s v="JULIANA COMBARIZA"/>
    <s v="Se reduce contrato PS a 10,5 meses"/>
    <s v="CRISTIAN VELANDIA"/>
    <s v="DANIELA LEÓN"/>
    <s v="CINDY FLORIDO"/>
    <m/>
  </r>
  <r>
    <n v="83121703"/>
    <s v="ACADÉMICA"/>
    <s v="EQUIPO DE COMUNICACIONES Y PRENSA"/>
    <s v="INFORMACIÓN Y COMUNICACIÓN"/>
    <s v="COMUNICACIONES Y PRENSA "/>
    <s v="SERVICIOS DE COMUNICACIÓN INTERNA Y ORGANIZACIONAL "/>
    <n v="1"/>
    <n v="1"/>
    <n v="10"/>
    <n v="15"/>
    <s v="CONTRATACIÓN DIRECTA"/>
    <x v="0"/>
    <n v="50127525"/>
    <m/>
    <n v="50127525"/>
    <n v="4774050"/>
    <n v="2018011000290"/>
    <x v="0"/>
    <s v="C-3302-1603-2-0-3302070"/>
    <x v="1"/>
    <s v="REALIZAR ACTIVIDADES DE CONSOLIDACIÓN ACADÉMICA"/>
    <s v="NO"/>
    <n v="0"/>
    <s v="N.A"/>
    <s v="GESTIÓN CONTRACTUAL"/>
    <s v="JUAN MANUEL ESPINOSA RESTREPO"/>
    <n v="3422121"/>
    <s v="juan.espinosa@caroycuervo.gov.co"/>
    <s v="INDIRA NATALIA PATIÑO"/>
    <s v="Se reduce contrato PS a 10,5 meses"/>
    <s v="CRISTIAN VELANDIA"/>
    <s v="DANIELA LEÓN"/>
    <s v="CINDY FLORIDO"/>
    <m/>
  </r>
  <r>
    <n v="82141505"/>
    <s v="ACADÉMICA"/>
    <s v="EQUIPO DE COMUNICACIONES Y PRENSA"/>
    <s v="INFORMACIÓN Y COMUNICACIÓN"/>
    <s v="COMUNICACIONES Y PRENSA "/>
    <s v="SERVICIOS DE DESARROLLADOR MULTIMEDIA Y DISEÑADOR GRÁFICO "/>
    <n v="1"/>
    <n v="1"/>
    <n v="10"/>
    <n v="15"/>
    <s v="CONTRATACIÓN DIRECTA"/>
    <x v="0"/>
    <n v="38319708"/>
    <m/>
    <n v="38319708"/>
    <n v="3649496"/>
    <n v="2018011000290"/>
    <x v="0"/>
    <s v="C-3302-1603-2-0-3302070"/>
    <x v="1"/>
    <s v="REALIZAR ACTIVIDADES DE CONSOLIDACIÓN ACADÉMICA"/>
    <s v="NO"/>
    <n v="0"/>
    <s v="N.A"/>
    <s v="GESTIÓN CONTRACTUAL"/>
    <s v="JUAN MANUEL ESPINOSA RESTREPO"/>
    <n v="3422121"/>
    <s v="juan.espinosa@caroycuervo.gov.co"/>
    <s v="CARLOS ESCOBAR"/>
    <s v="Se reduce contrato PS a 10,5 meses"/>
    <s v="CRISTIAN VELANDIA"/>
    <s v="DANIELA LEÓN"/>
    <m/>
    <m/>
  </r>
  <r>
    <n v="83121702"/>
    <s v="ACADÉMICA"/>
    <s v="EQUIPO DE COMUNICACIONES Y PRENSA"/>
    <s v="INFORMACIÓN Y COMUNICACIÓN"/>
    <s v="COMUNICACIONES Y PRENSA "/>
    <s v="SERVICIOS DE PRODUCCIÓN RADIAL Y APOYO EN SONIDO"/>
    <n v="1"/>
    <n v="1"/>
    <n v="10"/>
    <n v="15"/>
    <s v="CONTRATACIÓN DIRECTA"/>
    <x v="0"/>
    <n v="31515451"/>
    <m/>
    <n v="31515451"/>
    <m/>
    <n v="2018011000290"/>
    <x v="0"/>
    <s v="C-3302-1603-2-0-3302068"/>
    <x v="7"/>
    <s v="DISEÑAR, MONTAR, EDITAR, GRABAR Y PRODUCIR LA PROGRAMACIÓN"/>
    <s v="NO"/>
    <n v="0"/>
    <s v="N.A"/>
    <s v="GESTIÓN CONTRACTUAL"/>
    <s v="JUAN MANUEL ESPINOSA RESTREPO"/>
    <n v="3422121"/>
    <s v="juan.espinosa@caroycuervo.gov.co"/>
    <s v="SANTIAGO CORTÉS"/>
    <s v="Se reduce contrato PS a 10,5 meses"/>
    <s v="CRISTIAN VELANDIA"/>
    <s v="GERMÁN BOLAÑOS"/>
    <s v="LINA ROCHA"/>
    <m/>
  </r>
  <r>
    <n v="83121702"/>
    <s v="ACADÉMICA"/>
    <s v="EQUIPO DE COMUNICACIONES Y PRENSA"/>
    <s v="INFORMACIÓN Y COMUNICACIÓN"/>
    <s v="COMUNICACIONES Y PRENSA "/>
    <s v="SERVICIOS DE COORDINACIÓN RADIAL"/>
    <n v="1"/>
    <n v="1"/>
    <n v="10"/>
    <n v="15"/>
    <s v="CONTRATACIÓN DIRECTA"/>
    <x v="0"/>
    <n v="65074624"/>
    <m/>
    <n v="65074624"/>
    <m/>
    <n v="2018011000290"/>
    <x v="0"/>
    <s v="C-3302-1603-2-0-3302068"/>
    <x v="7"/>
    <s v="DISEÑAR, MONTAR, EDITAR, GRABAR Y PRODUCIR LA PROGRAMACIÓN"/>
    <s v="NO"/>
    <n v="0"/>
    <s v="N.A"/>
    <s v="GESTIÓN CONTRACTUAL"/>
    <s v="JUAN MANUEL ESPINOSA RESTREPO"/>
    <n v="3422121"/>
    <s v="juan.espinosa@caroycuervo.gov.co"/>
    <s v="VICTOR OGLIASTRI"/>
    <s v="Se reduce contrato PS a 10,5 meses"/>
    <s v="CRISTIAN VELANDIA"/>
    <s v="GERMÁN BOLAÑOS"/>
    <s v="LINA ROCHA"/>
    <m/>
  </r>
  <r>
    <s v="82111800; 82121502"/>
    <s v="ACADÉMICA"/>
    <s v="GRUPO DE PROCESOS EDITORIALES"/>
    <s v="APROPIACIÓN SOCIAL DEL CONOCIMIENTO"/>
    <s v="PROYECTO DE EMPRENDIMIENTO DE LA IMPRENTA PATRIÓTICA"/>
    <s v="CONTRATACIÓN DE SERVICIOS DE LINOTIPIA PARA LAS OBRAS QUE SE PRODUCEN EN LA IMPRENTA PATRIÓTICA DEL INSTITUTO C ARO Y CUERVO."/>
    <n v="1"/>
    <n v="1"/>
    <n v="10"/>
    <n v="15"/>
    <s v="CONTRATACIÓN DIRECTA"/>
    <x v="0"/>
    <n v="31747433"/>
    <m/>
    <n v="31747433"/>
    <m/>
    <n v="2018011000290"/>
    <x v="0"/>
    <s v="C-3302-1603-2-0-3302070"/>
    <x v="1"/>
    <s v="REALIZAR ACTIVIDADES DE CONSOLIDACIÓN ACADÉMICA"/>
    <s v="NO"/>
    <n v="0"/>
    <s v="N.A"/>
    <s v="GESTIÓN CONTRACTUAL"/>
    <s v="CESAR BUITRAGO"/>
    <n v="3422121"/>
    <s v="cesar.buitrago@caroycuervo.gov.co "/>
    <s v="JAIME ANTONIO ALVAREZ"/>
    <s v="Se reduce contrato PS a 10,5 meses"/>
    <s v="CRISTIAN VELANDIA"/>
    <m/>
    <m/>
    <m/>
  </r>
  <r>
    <s v="82121502; 80111601"/>
    <s v="ACADÉMICA"/>
    <s v="GRUPO DE PROCESOS EDITORIALES"/>
    <s v="APROPIACIÓN SOCIAL DEL CONOCIMIENTO"/>
    <s v="SELLO EDITORIAL E IMPRENTA PATRIÓTICA"/>
    <s v="CONTRATACIÓN DE SERVICIOS DE APOYO EN TAREAS DE DIAGRAMACIÓN DIGITAL Y TAREAS ADMINISTRATRIVAS PARA EL SELLO EDITORIAL E IMPRENTA PATRIÓTICA DEL ICC"/>
    <n v="1"/>
    <n v="1"/>
    <n v="10"/>
    <n v="15"/>
    <s v="CONTRATACIÓN DIRECTA"/>
    <x v="0"/>
    <n v="22601782"/>
    <m/>
    <n v="22601782"/>
    <m/>
    <n v="2018011000290"/>
    <x v="0"/>
    <s v="C-3302-1603-2-0-3302070"/>
    <x v="1"/>
    <s v="REALIZAR ACTIVIDADES DE CONSOLIDACIÓN ACADÉMICA"/>
    <s v="NO"/>
    <n v="0"/>
    <s v="N.A"/>
    <s v="GESTIÓN CONTRACTUAL"/>
    <s v="CESAR BUITRAGO"/>
    <n v="3422121"/>
    <s v="cesar.buitrago@caroycuervo.gov.co "/>
    <s v="ARMANDO RODRIGUEZ MORA"/>
    <s v="Se reduce contrato PS a 10,5 meses"/>
    <s v="CRISTIAN VELANDIA"/>
    <m/>
    <m/>
    <m/>
  </r>
  <r>
    <n v="93141708"/>
    <s v="ACADÉMICA"/>
    <s v="EQUIPO DE GESTIÓN DE MUSEOS"/>
    <s v="APROPIACIÓN SOCIAL DEL CONOCIMIENTO"/>
    <s v="GESTIÓN DE MUSEOS"/>
    <s v="CONTRATACIÓN PARA PRESTAR LOS SERVICIOS PROFESIONALES PARA IMPLEMENTAR EL PLAN MUSEOLÓGICO QUE REACTIVE LOS MUSEOS DEL INSTITUTO CARO Y CUERVO"/>
    <n v="1"/>
    <n v="1"/>
    <n v="11"/>
    <n v="0"/>
    <s v="CONTRATACIÓN DIRECTA"/>
    <x v="0"/>
    <n v="72560528"/>
    <n v="1241211"/>
    <n v="73801739"/>
    <n v="6709249"/>
    <n v="2018011000290"/>
    <x v="0"/>
    <s v="C-3302-1603-2-0-3302004"/>
    <x v="6"/>
    <s v="DISEÑAR, PREPARAR Y REALIZAR EXPOSICIONES EN SALAS MUSEALES"/>
    <s v="NO"/>
    <n v="0"/>
    <s v="N.A"/>
    <s v="GESTIÓN CONTRACTUAL"/>
    <s v="JUAN MANUEL ESPINOSA RESTREPO"/>
    <n v="3422121"/>
    <s v="juan.espinosa@caroycuervo.gov.co"/>
    <s v="JUAN DARÍO RESTREPO"/>
    <s v="Se reduce contrato PS a 10,5 meses y luego se ajusta a 11 meses"/>
    <s v="CRISTIAN VELANDIA"/>
    <s v="DANIELA LEÓN"/>
    <s v="MARCELA GUALTEROS"/>
    <s v="pagos mensuales de 6709249"/>
  </r>
  <r>
    <n v="93141708"/>
    <s v="ACADÉMICA"/>
    <s v="EQUIPO DE GESTIÓN DE MUSEOS"/>
    <s v="APROPIACIÓN SOCIAL DEL CONOCIMIENTO"/>
    <s v="GESTIÓN DE MUSEOS"/>
    <s v="CONTRATACIÓN PARA PRESTAR LOS SERVICIOS PROFESIONALES PARA IMPLEMENTAR ACCIONES DE INVESTIGACIÓN Y CURADURÍA DE LAS COLECCIONES MUEBLES QUE REACTIVE LOS MUSEOS DEL INSTITUTO CARO Y CUERVO"/>
    <n v="1"/>
    <n v="1"/>
    <n v="10"/>
    <n v="15"/>
    <s v="CONTRATACIÓN DIRECTA"/>
    <x v="0"/>
    <n v="64252953"/>
    <n v="-1871455"/>
    <n v="62381498"/>
    <n v="5941095"/>
    <n v="2018011000290"/>
    <x v="0"/>
    <s v="C-3302-1603-2-0-3302004"/>
    <x v="6"/>
    <s v="DISEÑAR, PREPARAR Y REALIZAR EXPOSICIONES EN SALAS MUSEALES"/>
    <s v="NO"/>
    <n v="0"/>
    <s v="N.A"/>
    <s v="GESTIÓN CONTRACTUAL"/>
    <s v="JUAN MANUEL ESPINOSA RESTREPO "/>
    <n v="3422121"/>
    <s v="juan.espinosa@caroycuervo.gov.co"/>
    <s v="NORMA  JIMENEZ"/>
    <s v="Se reduce contrato PS a 10,5 meses"/>
    <s v="CRISTIAN VELANDIA"/>
    <s v="GERMÁN BOLAÑOS"/>
    <s v="CINDY FLORIDO"/>
    <s v="pagos mensuales de 5941095"/>
  </r>
  <r>
    <n v="93141708"/>
    <s v="ACADÉMICA"/>
    <s v="EQUIPO DE GESTIÓN DE MUSEOS"/>
    <s v="APROPIACIÓN SOCIAL DEL CONOCIMIENTO"/>
    <s v="GESTIÓN DE MUSEOS"/>
    <s v="CONTRATACIÓN PARA PRESTAR LOS SERVICIOS PROFESIONALES PARA IMPLEMENTAR ACCIONES DE CONSERVACIÓN PREVENTIVA QUE REACTIVE LOS MUSEOS DEL INSTITUTO CARO Y CUERVO"/>
    <n v="1"/>
    <n v="1"/>
    <n v="10"/>
    <n v="15"/>
    <s v="CONTRATACIÓN DIRECTA"/>
    <x v="0"/>
    <n v="64252953"/>
    <n v="-1871455"/>
    <n v="62381498"/>
    <n v="5941095"/>
    <n v="2018011000290"/>
    <x v="0"/>
    <s v="C-3302-1603-2-0-3302004"/>
    <x v="6"/>
    <s v="DISEÑAR, PREPARAR Y REALIZAR EXPOSICIONES EN SALAS MUSEALES"/>
    <s v="NO"/>
    <n v="0"/>
    <s v="N.A"/>
    <s v="GESTIÓN CONTRACTUAL"/>
    <s v="JUAN MANUEL ESPINOSA RESTREPO "/>
    <n v="3422121"/>
    <s v="juan.espinosa@caroycuervo.gov.co"/>
    <s v="CESAR MACKENZIE"/>
    <s v="Se reduce contrato PS a 10,5 meses"/>
    <s v="CRISTIAN VELANDIA"/>
    <s v="GERMÁN BOLAÑOS"/>
    <s v="MARCELA GUALTEROS"/>
    <s v="pagos mensuales de 5941095"/>
  </r>
  <r>
    <n v="93141708"/>
    <s v="ACADÉMICA"/>
    <s v="EQUIPO DE GESTIÓN DE MUSEOS"/>
    <s v="APROPIACIÓN SOCIAL DEL CONOCIMIENTO"/>
    <s v="GESTIÓN DE MUSEOS"/>
    <s v="CONTRATACIÓN PARA PRESTAR LOS SERVICIOS TÉCNICOS PARA IMPLEMENTAR ACCIONES DE COMUNICACIÓN EDUCATIVA, GENERAR Y ACTUALIZAR DE CONTENIDOS EN EL SITIO WEB DE GESTIÓN DE MUSEOS Y LAS REDES SOCIALES DEL ICC"/>
    <n v="1"/>
    <n v="1"/>
    <n v="11"/>
    <n v="0"/>
    <s v="CONTRATACIÓN DIRECTA"/>
    <x v="0"/>
    <n v="37550073"/>
    <m/>
    <n v="37550073"/>
    <n v="3472036"/>
    <n v="2018011000290"/>
    <x v="0"/>
    <s v="C-3302-1603-2-0-3302004"/>
    <x v="6"/>
    <s v="DISEÑAR, PREPARAR Y REALIZAR EXPOSICIONES EN SALAS MUSEALES"/>
    <s v="NO"/>
    <n v="0"/>
    <s v="N.A"/>
    <s v="GESTIÓN CONTRACTUAL"/>
    <s v="JUAN MANUEL ESPINOSA RESTREPO "/>
    <n v="3422121"/>
    <s v="juan.espinosa@caroycuervo.gov.co"/>
    <s v="YENNY LOPEZ"/>
    <s v="Se reduce contrato PS a 10,5 meses"/>
    <s v="CRISTIAN VELANDIA"/>
    <s v="GERMÁN BOLAÑOS"/>
    <s v="CINDY FLORIDO"/>
    <s v="PAGOS MENSUALES DE 3472036"/>
  </r>
  <r>
    <n v="93141708"/>
    <s v="ACADÉMICA"/>
    <s v="EQUIPO DE GESTIÓN DE MUSEOS"/>
    <s v="APROPIACIÓN SOCIAL DEL CONOCIMIENTO"/>
    <s v="GESTIÓN DE MUSEOS"/>
    <s v="CONTRATACIÓN PARA PRESTAR LOS SERVICIOS TÉCNICOS PARA IMPLEMENTAR ACCIONES DE COMUNICACIÓN EDUCATIVA, GENERAR Y ACTUALIZAR DE CONTENIDOS EN EL SITIO WEB DE GESTIÓN DE MUSEOS Y LAS REDES SOCIALES DEL ICC"/>
    <n v="1"/>
    <n v="1"/>
    <n v="11"/>
    <n v="0"/>
    <s v="CONTRATACIÓN DIRECTA"/>
    <x v="0"/>
    <n v="0"/>
    <n v="154042"/>
    <n v="154042"/>
    <n v="3472036"/>
    <n v="2018011000290"/>
    <x v="0"/>
    <s v="C-3302-1603-2-0-3302070"/>
    <x v="1"/>
    <s v="REALIZAR ACTIVIDADES DE CONSOLIDACIÓN ACADÉMICA"/>
    <m/>
    <m/>
    <m/>
    <m/>
    <m/>
    <m/>
    <m/>
    <s v="YENNY LOPEZ"/>
    <m/>
    <s v="CRISTIAN VELANDIA"/>
    <s v="GERMÁN BOLAÑOS"/>
    <m/>
    <s v="liquidacion cuota mensual según PAA "/>
  </r>
  <r>
    <n v="93141708"/>
    <s v="ACADÉMICA"/>
    <s v="EQUIPO DE GESTIÓN DE MUSEOS"/>
    <s v="APROPIACIÓN SOCIAL DEL CONOCIMIENTO"/>
    <s v="GESTIÓN DE MUSEOS"/>
    <s v="CONTRATACIÓN PARA PRESTAR LOS SERVICIOS TÉCNICOS PARA IMPLEMENTAR ACCIONES DE COMUNICACIÓN EDUCATIVA, GENERAR Y ACTUALIZAR DE CONTENIDOS EN EL SITIO WEB DE GESTIÓN DE MUSEOS Y LAS REDES SOCIALES DEL ICC"/>
    <n v="1"/>
    <n v="1"/>
    <n v="11"/>
    <n v="0"/>
    <s v="CONTRATACIÓN DIRECTA"/>
    <x v="1"/>
    <n v="0"/>
    <n v="488285"/>
    <n v="488285"/>
    <n v="3472036"/>
    <n v="2018011000284"/>
    <x v="2"/>
    <s v="C-3399-1603-4-0-3399016"/>
    <x v="5"/>
    <s v=" REALIZAR MANTENIMIENTO A ELEMENTOS NO ESTRUCTURALES DE LAS SEDES "/>
    <m/>
    <m/>
    <m/>
    <m/>
    <m/>
    <m/>
    <m/>
    <s v="YENNY LOPEZ"/>
    <m/>
    <s v="CRISTIAN VELANDIA"/>
    <s v="GERMÁN BOLAÑOS"/>
    <m/>
    <s v="liquidacion cuota mensual según PAA "/>
  </r>
  <r>
    <s v="93141708; 80111617"/>
    <s v="ACADÉMICA"/>
    <s v="EQUIPO DE GESTIÓN DE MUSEOS"/>
    <s v="APROPIACIÓN SOCIAL DEL CONOCIMIENTO"/>
    <s v="GESTIÓN DE MUSEOS"/>
    <s v="SERVICIOS PROFESIONALES ARQUITECTO MUSEÓGRAFO "/>
    <n v="1"/>
    <n v="1"/>
    <n v="10"/>
    <n v="20"/>
    <s v="CONTRATACIÓN DIRECTA"/>
    <x v="1"/>
    <n v="37550073"/>
    <n v="-488285"/>
    <n v="37061788"/>
    <n v="3509639"/>
    <n v="2018011000284"/>
    <x v="2"/>
    <s v="C-3399-1603-4-0-3399016"/>
    <x v="5"/>
    <s v=" REALIZAR MANTENIMIENTO A ELEMENTOS NO ESTRUCTURALES DE LAS SEDES "/>
    <s v="NO"/>
    <n v="0"/>
    <s v="N.A"/>
    <s v="GESTIÓN CONTRACTUAL"/>
    <s v="JUAN MANUEL ESPINOSA RESTREPO"/>
    <n v="3422121"/>
    <s v="juan.espinosa@caroycuervo.gov.co"/>
    <s v="PABLO DANIEL HERNANDEZ"/>
    <s v="Se reduce contrato PS a 10,5 meses"/>
    <s v="CRISTIAN VELANDIA"/>
    <s v="GERMÁN BOLAÑOS"/>
    <s v="CINDY FLORIDO"/>
    <s v="PAGOS MENSUALES 3472036. se liquido como esta el PAA  10,20 meses"/>
  </r>
  <r>
    <s v="93141708; 80111617"/>
    <s v="ACADÉMICA"/>
    <s v="EQUIPO DE GESTIÓN DE MUSEOS"/>
    <s v="APROPIACIÓN SOCIAL DEL CONOCIMIENTO"/>
    <s v="GESTIÓN DE MUSEOS"/>
    <s v="SERVICIOS DE ASESORIA ARQUITÉCTONICA PARA EL PROYECTO MUSEOGRÁFICO "/>
    <n v="1"/>
    <n v="1"/>
    <n v="10"/>
    <n v="15"/>
    <s v="CONTRATACIÓN DIRECTA"/>
    <x v="0"/>
    <n v="17314756"/>
    <n v="-504319"/>
    <n v="16810437"/>
    <n v="1600994"/>
    <n v="2018011000290"/>
    <x v="0"/>
    <s v="C-3302-1603-2-0-3302004"/>
    <x v="6"/>
    <s v="DISEÑAR, PREPARAR Y REALIZAR EXPOSICIONES EN SALAS MUSEALES"/>
    <s v="NO"/>
    <n v="0"/>
    <s v="N.A"/>
    <s v="GESTIÓN CONTRACTUAL"/>
    <s v="JUAN MANUEL ESPINOSA RESTREPO "/>
    <n v="3422121"/>
    <s v="juan.espinosa@caroycuervo.gov.co"/>
    <s v="JULIAN SOSSA"/>
    <s v="Se reduce contrato PS a 10,5 meses"/>
    <s v="CRISTIAN VELANDIA"/>
    <s v="GERMÁN BOLAÑOS"/>
    <s v="MARCELA GUALTEROS"/>
    <s v="PAGOS MENSUALES 1600994"/>
  </r>
  <r>
    <n v="86141501"/>
    <s v="ACADÉMICA"/>
    <s v="SUBDIRECCIÓN ACADÉMICA"/>
    <s v="DIRECCIONAMIENTO ESTRATÉGICO"/>
    <s v="REGISTRO CALIFICADO"/>
    <s v="CONTRATACIÓN PARA PRESTAR LOS SERVICIOS PROFESIONALES PARA LA SOLICITUD DE REGISTRO CALIFICADO INSTITUCIONAL Y APRECIACIÓN DE CONDICIONES INICIALES INSTITUCIONALES"/>
    <n v="1"/>
    <n v="1"/>
    <n v="10"/>
    <n v="15"/>
    <s v="CONTRATACIÓN DIRECTA"/>
    <x v="0"/>
    <n v="62008391"/>
    <m/>
    <n v="62008391"/>
    <n v="5905561"/>
    <n v="2018011000284"/>
    <x v="2"/>
    <s v="C-3399-1603-4-0-3399056"/>
    <x v="8"/>
    <s v=" DISEÑAR HERRAMIENTAS PARA ORIENTAR LA PLANEACIÓN INSTITUCIONAL "/>
    <s v="NO"/>
    <n v="0"/>
    <s v="N.A"/>
    <s v="GESTIÓN CONTRACTUAL"/>
    <s v="JUAN MANUEL ESPINOSA RESTREPO"/>
    <n v="3422121"/>
    <s v="juan.espinosa@caroycuervo.gov.co"/>
    <s v="CAROLINA NAVARRETE"/>
    <s v="Se reduce contrato PS a 10,5 meses"/>
    <s v="CRISTIAN VELANDIA"/>
    <s v="GERMÁN BOLAÑOS"/>
    <s v="CINDY FLORIDO"/>
    <m/>
  </r>
  <r>
    <n v="86141501"/>
    <s v="ACADÉMICA"/>
    <s v="SUBDIRECCIÓN ACADÉMICA"/>
    <s v="FORMACIÓN"/>
    <s v="SUBDIRECCIÓN ACADÉMICA"/>
    <s v="CONTRATACIÓN PARA LA PRESTACIÓN DE SERVICIOS PROFESIONALES EN EL DESARROLLO DE ACTIVIDADES DE RELACIÓN CON COMUNIDADES ÉTNICAS, APOYO EN EL DESARROLLO DE EVENTOS ACADÉMICOS Y CULTURALES, Y ACTIVIDADES DE EDUCACIÓN CONTINUA "/>
    <n v="1"/>
    <n v="1"/>
    <n v="10"/>
    <n v="15"/>
    <s v="CONTRATACIÓN DIRECTA"/>
    <x v="0"/>
    <n v="29772712"/>
    <m/>
    <n v="29772712"/>
    <n v="2835496"/>
    <n v="2018011000290"/>
    <x v="0"/>
    <s v="C-3302-1603-2-0-3302066"/>
    <x v="4"/>
    <s v="PROGRAMAR, DISEÑAR Y OFERTAR PROGRAMAS DE EDUCACIÓN INFORMAL"/>
    <s v="NO"/>
    <n v="0"/>
    <s v="N.A"/>
    <s v="GESTIÓN CONTRACTUAL"/>
    <s v="JUAN MANUEL ESPINOSA RESTREPO"/>
    <n v="3422121"/>
    <s v="juan.espinosa@caroycuervo.gov.co"/>
    <s v="YATY URQUIJO"/>
    <s v="Se reduce contrato PS a 10,5 meses"/>
    <s v="CRISTIAN VELANDIA"/>
    <s v="GERMÁN BOLAÑOS"/>
    <s v="CINDY FLORIDO"/>
    <s v="Se ajustó el código del rubro presupuestal"/>
  </r>
  <r>
    <n v="86101710"/>
    <s v="ACADÉMICA"/>
    <s v="SUBDIRECCIÓN ACADÉMICA"/>
    <s v="FORMACIÓN"/>
    <s v="CANCILLERÍA"/>
    <s v="CONTRATACIÓN DE UN PROFESIONAL PARA PRESTAR LOS SERVICIOS PROFESIONALES PARA DESEMPEÑARSE COMO DOCENTE DE LENGUAJE EN LA ACADEMIA DIPLOMÁTICA; CREAR, ELABORAR, EVALUAR Y REVISAR EL COMPONENTE DE EXPRESIÓN ESCRITA DEL EXAMEN DE INGRESO A LA CARRERA DIPLOMÁTICA Y CONSULAR 2021"/>
    <n v="1"/>
    <n v="1"/>
    <n v="9"/>
    <n v="15"/>
    <s v="CONTRATACIÓN DIRECTA"/>
    <x v="0"/>
    <n v="20254950"/>
    <m/>
    <n v="20254950"/>
    <n v="2132100"/>
    <n v="2018011000290"/>
    <x v="0"/>
    <s v="C-3302-1603-2-0-3302066"/>
    <x v="4"/>
    <s v="PROGRAMAR, DISEÑAR Y OFERTAR PROGRAMAS DE EDUCACIÓN INFORMAL"/>
    <s v="NO"/>
    <n v="0"/>
    <s v="N.A"/>
    <s v="GESTIÓN CONTRACTUAL"/>
    <s v="JUAN MANUEL ESPINOSA RESTREPO"/>
    <n v="3422121"/>
    <s v="juan.espinosa@caroycuervo.gov.co"/>
    <s v="EDWIN GAMBOA"/>
    <s v="Se reduce contrato PS a 9,5 meses"/>
    <s v="CRISTIAN VELANDIA"/>
    <s v="GERMÁN BOLAÑOS"/>
    <s v="CINDY FLORIDO"/>
    <m/>
  </r>
  <r>
    <n v="80111621"/>
    <s v="ACADÉMICA"/>
    <s v="SUBDIRECCIÓN ACADÉMICA"/>
    <s v="FORMACIÓN"/>
    <s v="SUBDIRECCIÓN ACADÉMICA"/>
    <s v="CONTRATACIÓN SERVICIOS PROFESIONALES PARA APOYAR LAS ACTIVIDADES DE EDICIÓN DE COMUNITARIA DE LA SUBDIRECCIÓN ACADÉMICA"/>
    <n v="2"/>
    <n v="2"/>
    <n v="9"/>
    <n v="15"/>
    <s v="CONTRATACIÓN DIRECTA"/>
    <x v="0"/>
    <n v="13632821"/>
    <m/>
    <n v="13632821"/>
    <m/>
    <n v="2018011000290"/>
    <x v="0"/>
    <s v="C-3302-1603-2-0-3302070"/>
    <x v="1"/>
    <s v="REALIZAR ACTIVIDADES DE CONSOLIDACIÓN ACADÉMICA"/>
    <s v="NO"/>
    <n v="0"/>
    <s v="N.A"/>
    <s v="GESTIÓN CONTRACTUAL"/>
    <s v="JUAN MANUEL ESPINOSA RESTREPO"/>
    <n v="3422121"/>
    <s v="juan.espinosa@caroycuervo.gov.co"/>
    <s v="MARGARITA CATALINA VALENCIA"/>
    <s v="UNIFICAR; Se reduce contrato PS a 9,5 meses"/>
    <s v="CRISTIAN VELANDIA"/>
    <m/>
    <m/>
    <m/>
  </r>
  <r>
    <n v="80111621"/>
    <s v="ACADÉMICA"/>
    <s v="SUBDIRECCIÓN ACADÉMICA"/>
    <s v="FORMACIÓN"/>
    <s v="SUBDIRECCIÓN ACADÉMICA"/>
    <s v="CONTRATACIÓN PARA DIRIGIR LA LÍNEA DE INVESTIGACIÓN EN GLOTOPOLÍTICA DEL ICC EN EL MARCO DE LA CÁTEDRA UNESCO DE POLÍTICAS LINGÜÍSTICAS PARA EL MULTILINGÜISMO Y LA BECA FULBRIGHT SPECIALIST"/>
    <n v="1"/>
    <n v="1"/>
    <n v="9"/>
    <n v="15"/>
    <s v="CONTRATACIÓN DIRECTA"/>
    <x v="0"/>
    <n v="6699334"/>
    <m/>
    <n v="6699334"/>
    <m/>
    <n v="2018011000290"/>
    <x v="0"/>
    <s v="C-3302-1603-2-0-3302001"/>
    <x v="2"/>
    <s v="DISEÑAR, APROBAR Y EJECUTAR LOS PROYECTOS DE INVESTIGACIÓN"/>
    <s v="NO"/>
    <n v="0"/>
    <s v="N.A"/>
    <s v="GESTIÓN CONTRACTUAL"/>
    <s v="JUAN MANUEL ESPINOSA RESTREPO"/>
    <n v="3422121"/>
    <s v="juan.espinosa@caroycuervo.gov.co"/>
    <s v="DANIEL RUDAS"/>
    <s v="UNIFICAR; Se reduce contrato PS a 9,5 meses"/>
    <s v="CRISTIAN VELANDIA"/>
    <s v="DANIELA LEÓN"/>
    <m/>
    <m/>
  </r>
  <r>
    <n v="80111621"/>
    <s v="ACADÉMICA"/>
    <s v="SUBDIRECCIÓN ACADÉMICA"/>
    <s v="FORMACIÓN"/>
    <s v="SUBDIRECCIÓN ACADÉMICA"/>
    <s v="CONTRATACIÓN DE SERVICIOS DE APOYO PARA EL PROYECTO ANDOQUE"/>
    <n v="2"/>
    <n v="2"/>
    <n v="9"/>
    <n v="15"/>
    <s v="CONTRATACIÓN DIRECTA"/>
    <x v="0"/>
    <n v="19000000"/>
    <m/>
    <n v="19000000"/>
    <m/>
    <n v="2018011000290"/>
    <x v="0"/>
    <s v="C-3302-1603-2-0-3302001"/>
    <x v="2"/>
    <s v="DISEÑAR, APROBAR Y EJECUTAR LOS PROYECTOS DE INVESTIGACIÓN"/>
    <s v="NO"/>
    <n v="0"/>
    <s v="N.A"/>
    <s v="GESTIÓN CONTRACTUAL"/>
    <s v="JUAN MANUEL ESPINOSA RESTREPO"/>
    <n v="3422121"/>
    <s v="juan.espinosa@caroycuervo.gov.co"/>
    <s v="N.A"/>
    <s v="Se reduce contrato PS a 9,5 meses"/>
    <m/>
    <m/>
    <m/>
    <m/>
  </r>
  <r>
    <s v="80111621; 86101700"/>
    <s v="ACADÉMICA"/>
    <s v="SUBDIRECCIÓN ACADÉMICA"/>
    <s v="FORMACIÓN"/>
    <s v="SUBDIRECCIÓN ACADÉMICA"/>
    <s v="CONTRATO SERVICIOS PROFESIONALES PARA EL LEVANTAMIENTO DE LA EDICIÓN CRÍTICA LIBRO EL CARNERO&quot;"/>
    <n v="1"/>
    <n v="1"/>
    <n v="9"/>
    <n v="15"/>
    <s v="CONTRATACIÓN DIRECTA"/>
    <x v="0"/>
    <n v="34247500"/>
    <m/>
    <n v="34247500"/>
    <n v="3605000"/>
    <n v="2018011000290"/>
    <x v="0"/>
    <s v="C-3302-1603-2-0-3302070"/>
    <x v="1"/>
    <s v="REALIZAR ACTIVIDADES DE CONSOLIDACIÓN ACADÉMICA"/>
    <s v="NO"/>
    <n v="0"/>
    <s v="N.A"/>
    <s v="GESTIÓN CONTRACTUAL"/>
    <s v="JUAN MANUEL ESPINOSA RESTREPO"/>
    <n v="3422121"/>
    <s v="juan.espinosa@caroycuervo.gov.co"/>
    <s v="LEONARDO ESPITIA"/>
    <s v="Se reduce contrato PS a 9,5 meses"/>
    <s v="CRISTIAN VELANDIA"/>
    <s v="GERMÁN BOLAÑOS"/>
    <s v="CINDY FLORIDO"/>
    <m/>
  </r>
  <r>
    <n v="83121703"/>
    <s v="ACADÉMICA"/>
    <s v="EQUIPO DE COMUNICACIONES Y PRENSA"/>
    <s v="INFORMACIÓN Y COMUNICACIÓN"/>
    <s v="COMUNICACIONES Y PRENSA "/>
    <s v="SERVICIOS DE GESTOR DE CONTENIDOS WEB Y DISEÑO GRÁFICO "/>
    <n v="1"/>
    <n v="1"/>
    <n v="11"/>
    <n v="0"/>
    <s v="CONTRATACIÓN DIRECTA"/>
    <x v="0"/>
    <n v="38500000"/>
    <m/>
    <n v="38500000"/>
    <n v="3500000"/>
    <n v="2018011000290"/>
    <x v="0"/>
    <s v="C-3302-1603-2-0-3302070"/>
    <x v="1"/>
    <s v="REALIZAR ACTIVIDADES DE CONSOLIDACIÓN ACADÉMICA"/>
    <s v="NO"/>
    <n v="0"/>
    <s v="N.A"/>
    <s v="GESTIÓN CONTRACTUAL"/>
    <s v="JUAN MANUEL ESPINOSA RESTREPO"/>
    <n v="3422121"/>
    <s v="juan.espinosa@caroycuervo.gov.co"/>
    <s v="KAROL TORRES"/>
    <s v="Se reduce valor en la mensualidad debibo a ajuste en obligaciones"/>
    <s v="CRISTIAN VELANDIA"/>
    <s v="DANIELA LEÓN"/>
    <s v="CINDY FLORIDO"/>
    <m/>
  </r>
  <r>
    <n v="86141501"/>
    <s v="ACADÉMICA"/>
    <s v="SUBDIRECCIÓN ACADÉMICA"/>
    <s v="DIRECCIONAMIENTO ESTRATÉGICO"/>
    <s v="REGISTRO CALIFICADO"/>
    <s v="CONTRATACIÓN PARA PRESTAR LOS SERVICIOS PROFESIONALES PARA LA SOLICITUD DE REGISTRO CALIFICADO INSTITUCIONAL Y APRECIACIÓN DE CONDICIONES INICIALES INSTITUCIONALES"/>
    <n v="1"/>
    <n v="1"/>
    <n v="10"/>
    <n v="15"/>
    <s v="CONTRATACIÓN DIRECTA"/>
    <x v="0"/>
    <n v="19104109"/>
    <m/>
    <n v="19104109"/>
    <n v="1819439"/>
    <n v="2018011000284"/>
    <x v="2"/>
    <s v="C-3399-1603-4-0-3399061"/>
    <x v="9"/>
    <s v=" ADAPTAR EL MODELO INTEGRADO DE PLANEACIÓN Y GESTIÓN AL INSTITUTO "/>
    <s v="NO"/>
    <n v="0"/>
    <s v="N.A"/>
    <s v="GESTIÓN CONTRACTUAL"/>
    <s v="JUAN MANUEL ESPINOSA RESTREPO"/>
    <n v="3422121"/>
    <s v="juan.espinosa@caroycuervo.gov.co"/>
    <s v="CAROLINA NAVARRETE"/>
    <s v="Se reduce contrato PS a 10,5 meses"/>
    <s v="CRISTIAN VELANDIA"/>
    <s v="GERMÁN BOLAÑOS"/>
    <s v="CINDY FLORIDO"/>
    <m/>
  </r>
  <r>
    <n v="86101710"/>
    <s v="ACADÉMICA"/>
    <s v="FACULTAD SEMINARIO ANDRÉS BELLO"/>
    <s v="FORMACIÓN"/>
    <s v="MAESTRÍA EN ESTUDIOS EDITORIALES"/>
    <s v="NUEVO ÍTEM. CONTRATACIÓN DOCENTE: DOCENTES CURSO TRONCAL: EL MODELO DE NEGOCIO (2022-1) "/>
    <n v="6"/>
    <n v="4"/>
    <n v="2"/>
    <n v="0"/>
    <s v="CONTRATACIÓN DIRECTA"/>
    <x v="0"/>
    <n v="9658311"/>
    <m/>
    <n v="9658311"/>
    <m/>
    <n v="2018011000290"/>
    <x v="0"/>
    <s v="C-3302-1603-2-0-3302067"/>
    <x v="0"/>
    <s v="EJECUTAR PROGRAMAS DE POSGRADO CON REGISTRO CALIFICADO VIGENTE"/>
    <s v="NO"/>
    <n v="0"/>
    <s v="N.A"/>
    <s v="GESTIÓN CONTRACTUAL"/>
    <s v="MARÍA OFELIA ROS MATTURRO"/>
    <n v="3422121"/>
    <s v="ofelia.ros@caroycuervo.gov.co"/>
    <s v="MIRIAM VIDRIALES "/>
    <s v="CONVENIO"/>
    <m/>
    <m/>
    <m/>
    <m/>
  </r>
  <r>
    <s v="93151501; 80111715; 80101510"/>
    <s v="DIRECCIÓN GENERAL"/>
    <s v="GRUPO DE PLANEACIÓN"/>
    <s v="DIRECCIONAMIENTO ESTRATÉGICO"/>
    <s v="SISTEMA INTEGRADO DE GESTIÓN"/>
    <s v="PRESTAR LOS SERVICIOS PROFESIONALES EN EL GRUPO DE PLANEACIÓN PARA PARA LA ORIENTACIÓN E IMPLEMENTACIÓN DEL MODELO INTEGRADO DE PLANEACIÓN Y GESTIÓN (MIPG ) Y EL SISTEMA INTEGRADO DE GESTION"/>
    <n v="1"/>
    <n v="1"/>
    <n v="10"/>
    <n v="11"/>
    <s v="CONTRATACIÓN DIRECTA"/>
    <x v="0"/>
    <n v="53888089"/>
    <m/>
    <n v="53888089"/>
    <n v="5198204"/>
    <n v="2018011000284"/>
    <x v="2"/>
    <s v="C-3399-1603-4-0-3399061"/>
    <x v="9"/>
    <s v=" ADAPTAR EL MODELO INTEGRADO DE PLANEACIÓN Y GESTIÓN AL INSTITUTO "/>
    <s v="NO"/>
    <n v="0"/>
    <s v="N.A"/>
    <s v="GESTIÓN CONTRACTUAL"/>
    <s v="CRISTIAN ARMANDO VELANDIA "/>
    <n v="3422121"/>
    <s v="cristian.velandia@caroycuervo.gov.co"/>
    <s v="CAMILO ANDRES RODRIGUEZ"/>
    <m/>
    <s v="CRISTIAN VELANDIA"/>
    <s v="DANIELA LEÓN"/>
    <s v="LINA ROCHA"/>
    <m/>
  </r>
  <r>
    <s v="78111502; 90121502"/>
    <s v="ACADÉMICA"/>
    <s v="SUBDIRECCIÓN ACADÉMICA"/>
    <s v="FORMACIÓN"/>
    <s v="SUBDIRECCIÓN ACADÉMICA"/>
    <s v="TIQUETES: PARA DESPLAZARSE A IMPARTIR CURSOS DE DOCUMENTACIÓN LINGÜÍSTICA Y CULTURAL A COMUNIDADES INDÍGENAS EN EL MARCO DE SENTENCIAS DE JUZGADOS Y/O PLANES INTEGRALES DE REPARACIÓN - PLAN DECENAL DE LENGUAS"/>
    <n v="5"/>
    <n v="5"/>
    <n v="5"/>
    <n v="0"/>
    <s v="CONTRATACIÓN DIRECTA"/>
    <x v="0"/>
    <n v="8000000"/>
    <m/>
    <n v="8000000"/>
    <m/>
    <n v="2018011000290"/>
    <x v="0"/>
    <s v="C-3302-1603-2-0-3302070"/>
    <x v="1"/>
    <s v="REALIZAR ACTIVIDADES DE CONSOLIDACIÓN ACADÉMICA"/>
    <s v="NO"/>
    <n v="0"/>
    <s v="N.A"/>
    <s v="GESTIÓN CONTRACTUAL"/>
    <s v="JUAN MANUEL ESPINOSA RESTREPO"/>
    <n v="3422121"/>
    <s v="juan.espinosa@caroycuervo.gov.co"/>
    <s v="N.A"/>
    <s v="N.A"/>
    <m/>
    <m/>
    <m/>
    <m/>
  </r>
  <r>
    <n v="90121603"/>
    <s v="ACADÉMICA"/>
    <s v="INVESTIGACIÓN"/>
    <s v="INVESTIGACIÓN"/>
    <s v="RECORRIDO DE MELODÍAS DE MUJERES EN EL NOROESTE AMAZÓNICO. DOCUMENTACIPON Y DESCRIPCIÓN DE CANCIONES Y MÚSICAS DE MUJERES INDÍGENAS"/>
    <s v="TIQUETES: SALIDA DE CAMPO 1 TIQUETES (AVIONETA) MITÚ-BUENOS AIRES (COMUNIDAD CABIYARÍ.BARASANA, TAIWANAS), IDA Y VUELTA"/>
    <n v="6"/>
    <m/>
    <n v="0"/>
    <n v="0"/>
    <s v="CONTRATACIÓN DIRECTA"/>
    <x v="1"/>
    <n v="3200000"/>
    <m/>
    <n v="3200000"/>
    <m/>
    <n v="2018011000290"/>
    <x v="0"/>
    <s v="C-3302-1603-2-0-3302070"/>
    <x v="1"/>
    <s v="REALIZAR ACTIVIDADES DE CONSOLIDACIÓN ACADÉMICA"/>
    <s v="NO"/>
    <n v="0"/>
    <s v="N.A"/>
    <s v="GESTIÓN CONTRACTUAL"/>
    <s v="JULIO BERNAL"/>
    <n v="3422121"/>
    <s v="julio.bernal@caroycuervo.gov.co "/>
    <s v="KATHERINE BOLAÑOS"/>
    <s v="N.A"/>
    <m/>
    <m/>
    <m/>
    <m/>
  </r>
  <r>
    <n v="90121603"/>
    <s v="ACADÉMICA"/>
    <s v="INVESTIGACIÓN"/>
    <s v="INVESTIGACIÓN"/>
    <s v="TEXTUALIDADES DESDE TRES PUNTOS CARDINALES: AGENCIAS Y REPRESENTACIONES DE PERTENENCIA COLECTIVA AFRO E INDÍGENA"/>
    <s v="TIQUETES: SALIDA DE CAMPO TIQUETES A BARRANCOMINAS GUAINIA"/>
    <n v="4"/>
    <m/>
    <n v="0"/>
    <n v="0"/>
    <s v="CONTRATACIÓN DIRECTA"/>
    <x v="0"/>
    <n v="606956"/>
    <m/>
    <n v="606956"/>
    <m/>
    <n v="2018011000290"/>
    <x v="0"/>
    <s v="C-3302-1603-2-0-3302070"/>
    <x v="1"/>
    <s v="REALIZAR ACTIVIDADES DE CONSOLIDACIÓN ACADÉMICA"/>
    <s v="NO"/>
    <n v="0"/>
    <s v="N.A"/>
    <s v="GESTIÓN CONTRACTUAL"/>
    <s v="JULIO BERNAL"/>
    <n v="3422121"/>
    <s v="julio.bernal@caroycuervo.gov.co "/>
    <s v="ADRIANA CAMPOS"/>
    <s v="N.A"/>
    <m/>
    <m/>
    <m/>
    <m/>
  </r>
  <r>
    <n v="90121603"/>
    <s v="ACADÉMICA"/>
    <s v="INVESTIGACIÓN"/>
    <s v="INVESTIGACIÓN"/>
    <s v="TEXTUALIDADES DESDE TRES PUNTOS CARDINALES: AGENCIAS Y REPRESENTACIONES DE PERTENENCIA COLECTIVA AFRO E INDÍGENA"/>
    <s v="TIQUETES: SALIDA DE CAMPO TIQUETES A BARRANCOMINAS GUAINIA"/>
    <n v="1"/>
    <n v="1"/>
    <n v="0"/>
    <n v="0"/>
    <s v="CONTRATACIÓN DIRECTA"/>
    <x v="1"/>
    <n v="193044"/>
    <m/>
    <n v="193044"/>
    <m/>
    <n v="2018011000290"/>
    <x v="0"/>
    <s v="C-3302-1603-2-0-3302070"/>
    <x v="1"/>
    <s v="REALIZAR ACTIVIDADES DE CONSOLIDACIÓN ACADÉMICA"/>
    <s v="NO"/>
    <n v="0"/>
    <s v="N.A"/>
    <s v="GESTIÓN CONTRACTUAL"/>
    <s v="JULIO BERNAL"/>
    <n v="3422121"/>
    <s v="julio.bernal@caroycuervo.gov.co "/>
    <s v="ADRIANA CAMPOS"/>
    <s v="N.A"/>
    <m/>
    <m/>
    <m/>
    <m/>
  </r>
  <r>
    <n v="90121603"/>
    <s v="ACADÉMICA"/>
    <s v="INVESTIGACIÓN"/>
    <s v="INVESTIGACIÓN"/>
    <s v="RECORRIDO DE MELODÍAS DE MUJERES EN EL NOROESTE AMAZÓNICO. DOCUMENTACIPON Y DESCRIPCIÓN DE CANCIONES Y MÚSICAS DE MUJERES INDÍGENAS"/>
    <s v="TIQUETES: SALIDA DE CAMPO 1 TIQUETE (VUELO COMERCIAL) BOGOTÁ-MITU-MITU-BOGOTÁ"/>
    <n v="6"/>
    <m/>
    <n v="0"/>
    <n v="0"/>
    <s v="CONTRATACIÓN DIRECTA"/>
    <x v="0"/>
    <n v="1090963"/>
    <m/>
    <n v="1090963"/>
    <m/>
    <n v="2018011000290"/>
    <x v="0"/>
    <s v="C-3302-1603-2-0-3302070"/>
    <x v="1"/>
    <s v="REALIZAR ACTIVIDADES DE CONSOLIDACIÓN ACADÉMICA"/>
    <s v="NO"/>
    <n v="0"/>
    <s v="N.A"/>
    <s v="GESTIÓN CONTRACTUAL"/>
    <s v="JULIO BERNAL"/>
    <n v="3422121"/>
    <s v="julio.bernal@caroycuervo.gov.co "/>
    <s v="KATHERINE BOLAÑOS"/>
    <s v="N.A"/>
    <m/>
    <m/>
    <m/>
    <m/>
  </r>
  <r>
    <n v="90121604"/>
    <s v="ACADÉMICA"/>
    <s v="INVESTIGACIÓN"/>
    <s v="INVESTIGACIÓN"/>
    <s v="RECORRIDO DE MELODÍAS DE MUJERES EN EL NOROESTE AMAZÓNICO. DOCUMENTACIPON Y DESCRIPCIÓN DE CANCIONES Y MÚSICAS DE MUJERES INDÍGENAS"/>
    <s v="TIQUETES: SALIDA DE CAMPO 1 TIQUETE (VUELO COMERCIAL) BOGOTÁ-MITU-MITU-BOGOTÁ"/>
    <n v="7"/>
    <m/>
    <n v="0"/>
    <n v="0"/>
    <s v="CONTRATACIÓN DIRECTA"/>
    <x v="1"/>
    <n v="2148"/>
    <m/>
    <n v="2148"/>
    <m/>
    <n v="2018011000290"/>
    <x v="0"/>
    <s v="C-3302-1603-2-0-3302001"/>
    <x v="2"/>
    <s v="DISEÑAR, APROBAR Y EJECUTAR LOS PROYECTOS DE INVESTIGACIÓN"/>
    <s v="NO"/>
    <n v="0"/>
    <s v="N.A"/>
    <s v="GESTIÓN CONTRACTUAL"/>
    <s v="JULIO BERNAL"/>
    <n v="3422121"/>
    <s v="julio.bernal@caroycuervo.gov.co "/>
    <s v="KATHERINE BOLAÑOS"/>
    <s v="N.A"/>
    <m/>
    <m/>
    <m/>
    <m/>
  </r>
  <r>
    <n v="90121603"/>
    <s v="ACADÉMICA"/>
    <s v="INVESTIGACIÓN"/>
    <s v="INVESTIGACIÓN"/>
    <s v="RECORRIDO DE MELODÍAS DE MUJERES EN EL NOROESTE AMAZÓNICO. DOCUMENTACIPON Y DESCRIPCIÓN DE CANCIONES Y MÚSICAS DE MUJERES INDÍGENAS"/>
    <s v="TIQUETES:SALIDA DE CAMPO 1 TIQUETE (VUELO COMERCIAL) BOGOTÁ-MITU-MITU-BOGOTÁ"/>
    <n v="1"/>
    <n v="1"/>
    <n v="0"/>
    <n v="0"/>
    <s v="CONTRATACIÓN DIRECTA"/>
    <x v="1"/>
    <n v="106889"/>
    <m/>
    <n v="106889"/>
    <m/>
    <n v="2018011000290"/>
    <x v="0"/>
    <s v="C-3302-1603-2-0-3302070"/>
    <x v="1"/>
    <s v="REALIZAR ACTIVIDADES DE CONSOLIDACIÓN ACADÉMICA"/>
    <s v="NO"/>
    <n v="0"/>
    <s v="N.A"/>
    <s v="GESTIÓN CONTRACTUAL"/>
    <s v="JULIO BERNAL"/>
    <n v="3422121"/>
    <s v="julio.bernal@caroycuervo.gov.co "/>
    <s v="KATHERINE BOLAÑOS"/>
    <s v="N.A"/>
    <m/>
    <m/>
    <m/>
    <m/>
  </r>
  <r>
    <n v="78141500"/>
    <s v="ACADÉMICA"/>
    <s v="EQUIPO DE COMUNICACIONES Y PRENSA"/>
    <s v="INFORMACIÓN Y COMUNICACIÓN"/>
    <s v="COMUNICACIONES Y PRENSA "/>
    <s v="TIQUETES:TIQUETE PARTICIPACIÓN HAY FESTIVAL 2022"/>
    <n v="1"/>
    <n v="1"/>
    <n v="1"/>
    <n v="0"/>
    <s v="CONTRATACIÓN DIRECTA"/>
    <x v="1"/>
    <n v="700000"/>
    <m/>
    <n v="700000"/>
    <m/>
    <n v="2018011000290"/>
    <x v="0"/>
    <s v="C-3302-1603-2-0-3302070"/>
    <x v="1"/>
    <s v="REALIZAR ACTIVIDADES DE CONSOLIDACIÓN ACADÉMICA"/>
    <s v="NO"/>
    <n v="0"/>
    <s v="N.A"/>
    <s v="GESTIÓN CONTRACTUAL"/>
    <s v="JUAN MANUEL ESPINOSA RESTREPO"/>
    <n v="3422121"/>
    <s v="juan.espinosa@caroycuervo.gov.co"/>
    <s v="N.A"/>
    <s v="N.A"/>
    <m/>
    <m/>
    <m/>
    <m/>
  </r>
  <r>
    <n v="78141500"/>
    <s v="ACADÉMICA"/>
    <s v="INVESTIGACIÓN"/>
    <s v="INVESTIGACIÓN"/>
    <s v="RECORRIDO DE MELODÍAS DE MUJERES EN EL NOROESTE AMAZÓNICO. DOCUMENTACIPON Y DESCRIPCIÓN DE CANCIONES Y MÚSICAS DE MUJERES INDÍGENAS"/>
    <s v="GASTOS DE VIAJE SALIDAD DE CAMPO TRANSPORTE EN LANCHA: MITÚ-WACARÁ (COMUNIDAD KAKUA) (INCLUYE, ALQUILER DE BOTE, GASOLINA, ALQUILER DE MOTO Y MOTORISTA"/>
    <n v="6"/>
    <m/>
    <n v="0"/>
    <n v="0"/>
    <s v="CONTRATACIÓN DIRECTA"/>
    <x v="1"/>
    <n v="800000"/>
    <m/>
    <n v="800000"/>
    <m/>
    <n v="2018011000290"/>
    <x v="0"/>
    <s v="C-3302-1603-2-0-3302070"/>
    <x v="1"/>
    <s v="REALIZAR ACTIVIDADES DE CONSOLIDACIÓN ACADÉMICA"/>
    <s v="NO"/>
    <n v="0"/>
    <s v="N.A"/>
    <s v="GESTIÓN CONTRACTUAL"/>
    <s v="JULIO BERNAL"/>
    <n v="3422121"/>
    <s v="julio.bernal@caroycuervo.gov.co "/>
    <s v="KATHERINE BOLAÑOS"/>
    <s v="N.A"/>
    <m/>
    <m/>
    <m/>
    <m/>
  </r>
  <r>
    <n v="78141500"/>
    <s v="ACADÉMICA"/>
    <s v="INVESTIGACIÓN"/>
    <s v="INVESTIGACIÓN"/>
    <s v="RECORRIDO DE MELODÍAS DE MUJERES EN EL NOROESTE AMAZÓNICO. DOCUMENTACIPON Y DESCRIPCIÓN DE CANCIONES Y MÚSICAS DE MUJERES INDÍGENAS"/>
    <s v="GASTOS DE VIAJE- GASTOS VARIOS EN AVUPÉS: GASOLINA PARA INTERCAMBIO POR HOSPEDAJES EN LAS COMINIDADES. ALIMENTACIÓN. ELEMENTOS BÁSICOS PARA INTERCMABIO POR HOSPEDAJES. MATERIALES PARA ACTIVIDADES A DESARROLLAR CON MUJERES"/>
    <n v="6"/>
    <m/>
    <n v="0"/>
    <n v="0"/>
    <s v="CONTRATACIÓN DIRECTA"/>
    <x v="1"/>
    <n v="300000"/>
    <m/>
    <n v="300000"/>
    <m/>
    <n v="2018011000290"/>
    <x v="0"/>
    <s v="C-3302-1603-2-0-3302070"/>
    <x v="1"/>
    <s v="REALIZAR ACTIVIDADES DE CONSOLIDACIÓN ACADÉMICA"/>
    <s v="NO"/>
    <n v="0"/>
    <s v="N.A"/>
    <s v="GESTIÓN CONTRACTUAL"/>
    <s v="JULIO BERNAL"/>
    <n v="3422121"/>
    <s v="julio.bernal@caroycuervo.gov.co "/>
    <s v="KATHERINE BOLAÑOS"/>
    <s v="N.A"/>
    <m/>
    <m/>
    <m/>
    <m/>
  </r>
  <r>
    <n v="78141500"/>
    <s v="ACADÉMICA"/>
    <s v="INVESTIGACIÓN"/>
    <s v="INVESTIGACIÓN"/>
    <s v="RECORRIDO DE MELODÍAS DE MUJERES EN EL NOROESTE AMAZÓNICO. DOCUMENTACIPON Y DESCRIPCIÓN DE CANCIONES Y MÚSICAS DE MUJERES INDÍGENAS"/>
    <s v="GASTOS DE VIAJE HOSPEDAJE EN MITU: 2 NOCHES. (NOCHE DE LLEGADA A MITÚ Y ANOCHE ANTES DE REGRESO DE MITÚ A BOGOTÁ)"/>
    <n v="6"/>
    <m/>
    <n v="0"/>
    <n v="0"/>
    <s v="CONTRATACIÓN DIRECTA"/>
    <x v="1"/>
    <n v="200000"/>
    <m/>
    <n v="200000"/>
    <m/>
    <n v="2018011000290"/>
    <x v="0"/>
    <s v="C-3302-1603-2-0-3302001"/>
    <x v="2"/>
    <s v="DISEÑAR, APROBAR Y EJECUTAR LOS PROYECTOS DE INVESTIGACIÓN"/>
    <s v="NO"/>
    <n v="0"/>
    <s v="N.A"/>
    <s v="GESTIÓN CONTRACTUAL"/>
    <s v="JULIO BERNAL"/>
    <n v="3422121"/>
    <s v="julio.bernal@caroycuervo.gov.co "/>
    <s v="KATHERINE BOLAÑOS"/>
    <s v="N.A"/>
    <m/>
    <m/>
    <m/>
    <m/>
  </r>
  <r>
    <n v="78141500"/>
    <s v="ACADÉMICA"/>
    <s v="INVESTIGACIÓN"/>
    <s v="INVESTIGACIÓN"/>
    <s v="TEXTUALIDADES DESDE TRES PUNTOS CARDINALES: AGENCIAS Y REPRESENTACIONES DE PERTENENCIA COLECTIVA AFRO E INDÍGENA"/>
    <s v="SALIDA DE CAMPO GASTOS DE VIAJE HOSPEDAJE GUAINIA"/>
    <n v="4"/>
    <m/>
    <n v="0"/>
    <n v="0"/>
    <s v="CONTRATACIÓN DIRECTA"/>
    <x v="1"/>
    <n v="800000"/>
    <m/>
    <n v="800000"/>
    <m/>
    <n v="2018011000290"/>
    <x v="0"/>
    <s v="C-3302-1603-2-0-3302070"/>
    <x v="1"/>
    <s v="REALIZAR ACTIVIDADES DE CONSOLIDACIÓN ACADÉMICA"/>
    <s v="NO"/>
    <n v="0"/>
    <s v="N.A"/>
    <s v="GESTIÓN CONTRACTUAL"/>
    <s v="JULIO BERNAL"/>
    <n v="3422121"/>
    <s v="julio.bernal@caroycuervo.gov.co "/>
    <s v="ADRIANA CAMPOS"/>
    <s v="N.A"/>
    <m/>
    <m/>
    <m/>
    <m/>
  </r>
  <r>
    <n v="80161504"/>
    <s v="ACADÉMICA"/>
    <s v="FACULTAD SEMINARIO ANDRÉS BELLO"/>
    <s v="FORMACIÓN"/>
    <s v="FACULTAD"/>
    <s v="LOGÍSTICA"/>
    <n v="1"/>
    <n v="1"/>
    <n v="11"/>
    <n v="0"/>
    <s v="CONTRATACIÓN DIRECTA"/>
    <x v="1"/>
    <n v="15000000"/>
    <m/>
    <n v="15000000"/>
    <m/>
    <n v="2018011000290"/>
    <x v="0"/>
    <s v="C-3302-1603-2-0-3302070"/>
    <x v="1"/>
    <s v="REALIZAR ACTIVIDADES DE CONSOLIDACIÓN ACADÉMICA"/>
    <s v="NO"/>
    <n v="0"/>
    <s v="N.A"/>
    <s v="GESTIÓN CONTRACTUAL"/>
    <s v="MARÍA OFELIA ROS MATTURRO"/>
    <n v="3422121"/>
    <s v="ofelia.ros@caroycuervo.gov.co"/>
    <s v="N.A"/>
    <s v="N.A"/>
    <m/>
    <m/>
    <m/>
    <m/>
  </r>
  <r>
    <n v="82121500"/>
    <s v="ACADÉMICA"/>
    <s v="EQUIPO DE COMUNICACIONES Y PRENSA"/>
    <s v="INFORMACIÓN Y COMUNICACIÓN"/>
    <s v="COMUNICACIONES Y PRENSA "/>
    <s v="PAGO MEMBRESÍA RRUC"/>
    <n v="1"/>
    <n v="1"/>
    <n v="11"/>
    <n v="0"/>
    <s v="MINIMA CUANTÍA"/>
    <x v="1"/>
    <n v="193044"/>
    <m/>
    <n v="193044"/>
    <m/>
    <n v="2018011000290"/>
    <x v="0"/>
    <s v="C-3302-1603-2-0-3302068"/>
    <x v="7"/>
    <s v="DISEÑAR, MONTAR, EDITAR, GRABAR Y PRODUCIR LA PROGRAMACIÓN"/>
    <s v="NO"/>
    <n v="0"/>
    <s v="N.A"/>
    <s v="GESTIÓN CONTRACTUAL"/>
    <s v="JUAN MANUEL ESPINOSA RESTREPO"/>
    <n v="3422121"/>
    <s v="juan.espinosa@caroycuervo.gov.co"/>
    <s v="N.A"/>
    <s v="N.A"/>
    <m/>
    <m/>
    <m/>
    <m/>
  </r>
  <r>
    <n v="82121500"/>
    <s v="ACADÉMICA"/>
    <s v="EQUIPO DE COMUNICACIONES Y PRENSA"/>
    <s v="INFORMACIÓN Y COMUNICACIÓN"/>
    <s v="COMUNICACIONES Y PRENSA "/>
    <s v="PAGO MEMBRESÍA RRUC"/>
    <n v="1"/>
    <n v="1"/>
    <n v="11"/>
    <n v="0"/>
    <s v="MINIMA CUANTÍA"/>
    <x v="1"/>
    <n v="106956"/>
    <m/>
    <n v="106956"/>
    <m/>
    <n v="2018011000290"/>
    <x v="0"/>
    <s v="C-3302-1603-2-0-3302070"/>
    <x v="1"/>
    <s v="REALIZAR ACTIVIDADES DE CONSOLIDACIÓN ACADÉMICA"/>
    <s v="NO"/>
    <n v="0"/>
    <s v="N.A"/>
    <s v="GESTIÓN CONTRACTUAL"/>
    <s v="JUAN MANUEL ESPINOSA RESTREPO"/>
    <n v="3422121"/>
    <s v="juan.espinosa@caroycuervo.gov.co"/>
    <s v="N.A"/>
    <s v="N.A"/>
    <m/>
    <m/>
    <m/>
    <m/>
  </r>
  <r>
    <n v="0"/>
    <s v="ACADÉMICA"/>
    <s v="GRUPO DE PROCESOS EDITORIALES"/>
    <s v="APROPIACIÓN SOCIAL DEL CONOCIMIENTO"/>
    <s v="EDITORIAL"/>
    <s v="PAGO DE MEMBRESÍA ASEUC"/>
    <n v="5"/>
    <n v="5"/>
    <n v="1"/>
    <n v="0"/>
    <s v="CONTRATACIÓN DIRECTA"/>
    <x v="1"/>
    <n v="5000000"/>
    <m/>
    <n v="5000000"/>
    <m/>
    <n v="2018011000290"/>
    <x v="0"/>
    <s v="C-3302-1603-2-0-3302070"/>
    <x v="1"/>
    <s v="REALIZAR ACTIVIDADES DE CONSOLIDACIÓN ACADÉMICA"/>
    <s v="NO"/>
    <n v="0"/>
    <s v="N.A"/>
    <s v="GESTIÓN CONTRACTUAL"/>
    <s v="JUAN MANUEL ESPINOSA RESTREPO"/>
    <n v="3422121"/>
    <s v="cesar.buitrago@caroycuervo.gov.co "/>
    <s v="N.A"/>
    <s v="N.A"/>
    <m/>
    <m/>
    <m/>
    <m/>
  </r>
  <r>
    <n v="82121501"/>
    <s v="ACADÉMICA"/>
    <s v="EQUIPO DE COMUNICACIONES Y PRENSA"/>
    <s v="INFORMACIÓN Y COMUNICACIÓN"/>
    <s v="COMUNICACIONES Y PRENSA "/>
    <s v="PAGO DE FLICKR ANUAL"/>
    <n v="3"/>
    <n v="3"/>
    <n v="9"/>
    <n v="0"/>
    <s v="MINIMA CUANTÍA"/>
    <x v="1"/>
    <n v="700000"/>
    <m/>
    <n v="700000"/>
    <m/>
    <n v="2018011000290"/>
    <x v="0"/>
    <s v="C-3302-1603-2-0-3302070"/>
    <x v="1"/>
    <s v="REALIZAR ACTIVIDADES DE CONSOLIDACIÓN ACADÉMICA"/>
    <s v="NO"/>
    <n v="0"/>
    <s v="N.A"/>
    <s v="GESTIÓN CONTRACTUAL"/>
    <s v="JUAN MANUEL ESPINOSA RESTREPO"/>
    <n v="3422121"/>
    <s v="juan.espinosa@caroycuervo.gov.co"/>
    <s v="N.A"/>
    <s v="N.A"/>
    <m/>
    <m/>
    <m/>
    <m/>
  </r>
  <r>
    <n v="82121500"/>
    <s v="ACADÉMICA"/>
    <s v="EQUIPO DE COMUNICACIONES Y PRENSA"/>
    <s v="INFORMACIÓN Y COMUNICACIÓN"/>
    <s v="COMUNICACIONES Y PRENSA "/>
    <s v="PAGO DE ZOOM PRO"/>
    <n v="3"/>
    <n v="3"/>
    <n v="9"/>
    <n v="0"/>
    <s v="MINIMA CUANTÍA"/>
    <x v="1"/>
    <n v="800000"/>
    <m/>
    <n v="800000"/>
    <m/>
    <n v="2018011000290"/>
    <x v="0"/>
    <s v="C-3302-1603-2-0-3302070"/>
    <x v="1"/>
    <s v="REALIZAR ACTIVIDADES DE CONSOLIDACIÓN ACADÉMICA"/>
    <s v="NO"/>
    <n v="0"/>
    <s v="N.A"/>
    <s v="GESTIÓN CONTRACTUAL"/>
    <s v="JUAN MANUEL ESPINOSA RESTREPO"/>
    <n v="3422121"/>
    <s v="juan.espinosa@caroycuervo.gov.co"/>
    <s v="N.A"/>
    <s v="N.A"/>
    <m/>
    <m/>
    <m/>
    <m/>
  </r>
  <r>
    <n v="82121500"/>
    <s v="ACADÉMICA"/>
    <s v="EQUIPO DE COMUNICACIONES Y PRENSA"/>
    <s v="INFORMACIÓN Y COMUNICACIÓN"/>
    <s v="COMUNICACIONES Y PRENSA "/>
    <s v="PAGO DERECHOS DE AUTOR SAYCO"/>
    <n v="1"/>
    <n v="1"/>
    <n v="11"/>
    <n v="0"/>
    <s v="MINIMA CUANTÍA"/>
    <x v="1"/>
    <n v="3700000"/>
    <m/>
    <n v="3700000"/>
    <m/>
    <n v="2018011000290"/>
    <x v="0"/>
    <s v="C-3302-1603-2-0-3302070"/>
    <x v="1"/>
    <s v="REALIZAR ACTIVIDADES DE CONSOLIDACIÓN ACADÉMICA"/>
    <s v="NO"/>
    <n v="0"/>
    <s v="N.A"/>
    <s v="GESTIÓN CONTRACTUAL"/>
    <s v="JUAN MANUEL ESPINOSA RESTREPO"/>
    <n v="3422121"/>
    <s v="juan.espinosa@caroycuervo.gov.co"/>
    <s v="N.A"/>
    <s v="N.A"/>
    <m/>
    <m/>
    <m/>
    <m/>
  </r>
  <r>
    <n v="82121500"/>
    <s v="ACADÉMICA"/>
    <s v="EQUIPO DE COMUNICACIONES Y PRENSA"/>
    <s v="INFORMACIÓN Y COMUNICACIÓN"/>
    <s v="COMUNICACIONES Y PRENSA "/>
    <s v="PAGO SERVIDOR EMISORA RADIO.CO"/>
    <n v="1"/>
    <n v="1"/>
    <n v="11"/>
    <n v="0"/>
    <s v="MINIMA CUANTÍA"/>
    <x v="1"/>
    <n v="3000000"/>
    <m/>
    <n v="3000000"/>
    <m/>
    <n v="2018011000290"/>
    <x v="0"/>
    <s v="C-3302-1603-2-0-3302070"/>
    <x v="1"/>
    <s v="REALIZAR ACTIVIDADES DE CONSOLIDACIÓN ACADÉMICA"/>
    <s v="NO"/>
    <n v="0"/>
    <s v="N.A"/>
    <s v="GESTIÓN CONTRACTUAL"/>
    <s v="JUAN MANUEL ESPINOSA RESTREPO"/>
    <n v="3422121"/>
    <s v="juan.espinosa@caroycuervo.gov.co"/>
    <s v="N.A"/>
    <s v="N.A"/>
    <m/>
    <m/>
    <m/>
    <m/>
  </r>
  <r>
    <n v="0"/>
    <s v="ADMINISTRATIVA Y FINANCIERA"/>
    <s v="TALENTO HUMANO"/>
    <s v="GESTIÓN TALENTO HUMANO"/>
    <s v="PLAN ESTRATEGICO DE TALENTO HUMANO"/>
    <s v="GASTOS EN ARL DE PRACTICANTES"/>
    <n v="1"/>
    <n v="1"/>
    <n v="11"/>
    <n v="0"/>
    <s v="CONTRATACIÓN DIRECTA"/>
    <x v="0"/>
    <n v="584539"/>
    <m/>
    <n v="584539"/>
    <m/>
    <n v="2018011000290"/>
    <x v="0"/>
    <s v="C-3302-1603-2-0-3302001"/>
    <x v="2"/>
    <s v="DISEÑAR, APROBAR Y EJECUTAR LOS PROYECTOS DE INVESTIGACIÓN"/>
    <s v="NO"/>
    <n v="0"/>
    <s v="N.A"/>
    <s v="GESTIÓN CONTRACTUAL"/>
    <s v="LILIANA JEANNETTE MONTOYA TALERO"/>
    <n v="3422121"/>
    <s v="juan.espinosa@caroycuervo.gov.co"/>
    <s v="INVERSIÓN"/>
    <s v="N.A"/>
    <m/>
    <m/>
    <m/>
    <m/>
  </r>
  <r>
    <n v="80131505"/>
    <s v="ACADÉMICA"/>
    <s v="GRUPO DE PROCESOS EDITORIALES"/>
    <s v="APROPIACIÓN SOCIAL DEL CONOCIMIENTO"/>
    <s v="SELLO EDITORIAL E IMPRENTA PATRIÓTICA"/>
    <s v="PAGO DE ISBN"/>
    <n v="2"/>
    <n v="2"/>
    <n v="10"/>
    <n v="0"/>
    <s v="CONTRATACIÓN DIRECTA"/>
    <x v="1"/>
    <n v="1500000"/>
    <m/>
    <n v="1500000"/>
    <m/>
    <n v="2018011000290"/>
    <x v="0"/>
    <s v="C-3302-1603-2-0-3302070"/>
    <x v="1"/>
    <s v="REALIZAR ACTIVIDADES DE CONSOLIDACIÓN ACADÉMICA"/>
    <s v="NO"/>
    <n v="0"/>
    <s v="N.A"/>
    <s v="GESTIÓN CONTRACTUAL"/>
    <s v="JUAN MANUEL ESPINOSA RESTREPO"/>
    <n v="3422121"/>
    <s v="cesar.buitrago@caroycuervo.gov.co "/>
    <s v="N.A"/>
    <s v="N.A"/>
    <m/>
    <m/>
    <m/>
    <m/>
  </r>
  <r>
    <n v="0"/>
    <s v="ACADÉMICA"/>
    <s v="SUBDIRECCIÓN ACADÉMICA"/>
    <s v="FORMACIÓN"/>
    <s v="SUBDIRECCIÓN ACADÉMICA"/>
    <s v="PAGO CUOTA ASCUN"/>
    <n v="2"/>
    <n v="2"/>
    <n v="1"/>
    <n v="0"/>
    <s v="CONTRATACIÓN DIRECTA"/>
    <x v="1"/>
    <n v="22000000"/>
    <m/>
    <n v="22000000"/>
    <m/>
    <n v="2018011000290"/>
    <x v="0"/>
    <s v="C-3302-1603-2-0-3302070"/>
    <x v="1"/>
    <s v="REALIZAR ACTIVIDADES DE CONSOLIDACIÓN ACADÉMICA"/>
    <s v="NO"/>
    <n v="0"/>
    <s v="N.A"/>
    <s v="GESTIÓN CONTRACTUAL"/>
    <s v="JUAN MANUEL ESPINOSA RESTREPO"/>
    <n v="3422121"/>
    <s v="juan.espinosa@caroycuervo.gov.co"/>
    <s v="N.A"/>
    <s v="N.A"/>
    <m/>
    <m/>
    <m/>
    <m/>
  </r>
  <r>
    <n v="0"/>
    <s v="ACADÉMICA"/>
    <s v="SUBDIRECCIÓN ACADÉMICA"/>
    <s v="FORMACIÓN"/>
    <s v="SUBDIRECCIÓN ACADÉMICA"/>
    <s v="PAGO CUOTA SICELE"/>
    <n v="2"/>
    <n v="2"/>
    <n v="1"/>
    <n v="0"/>
    <s v="CONTRATACIÓN DIRECTA"/>
    <x v="1"/>
    <n v="4000000"/>
    <m/>
    <n v="4000000"/>
    <m/>
    <n v="2018011000290"/>
    <x v="0"/>
    <s v="C-3302-1603-2-0-3302070"/>
    <x v="1"/>
    <s v="REALIZAR ACTIVIDADES DE CONSOLIDACIÓN ACADÉMICA"/>
    <s v="NO"/>
    <n v="0"/>
    <s v="N.A"/>
    <s v="GESTIÓN CONTRACTUAL"/>
    <s v="JUAN MANUEL ESPINOSA RESTREPO"/>
    <n v="3422121"/>
    <s v="juan.espinosa@caroycuervo.gov.co"/>
    <s v="N.A"/>
    <s v="N.A"/>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6">
  <r>
    <x v="0"/>
    <n v="24530202"/>
    <m/>
    <n v="24530202"/>
    <m/>
    <n v="2018011000290"/>
    <x v="0"/>
    <s v="C-3302-1603-2-0-3302067"/>
    <x v="0"/>
    <s v="EJECUTAR PROGRAMAS DE POSGRADO CON REGISTRO CALIFICADO VIGENTE"/>
  </r>
  <r>
    <x v="0"/>
    <n v="9216935"/>
    <m/>
    <n v="9216935"/>
    <m/>
    <n v="2018011000290"/>
    <x v="0"/>
    <s v="C-3302-1603-2-0-3302067"/>
    <x v="0"/>
    <s v="EJECUTAR PROGRAMAS DE POSGRADO CON REGISTRO CALIFICADO VIGENTE"/>
  </r>
  <r>
    <x v="0"/>
    <n v="4542630"/>
    <m/>
    <n v="4542630"/>
    <m/>
    <n v="2018011000290"/>
    <x v="0"/>
    <s v="C-3302-1603-2-0-3302067"/>
    <x v="0"/>
    <s v="EJECUTAR PROGRAMAS DE POSGRADO CON REGISTRO CALIFICADO VIGENTE"/>
  </r>
  <r>
    <x v="0"/>
    <n v="6822160"/>
    <m/>
    <n v="6822160"/>
    <m/>
    <n v="2018011000290"/>
    <x v="0"/>
    <s v="C-3302-1603-2-0-3302067"/>
    <x v="0"/>
    <s v="EJECUTAR PROGRAMAS DE POSGRADO CON REGISTRO CALIFICADO VIGENTE"/>
  </r>
  <r>
    <x v="0"/>
    <n v="6822160"/>
    <m/>
    <n v="6822160"/>
    <m/>
    <n v="2018011000290"/>
    <x v="0"/>
    <s v="C-3302-1603-2-0-3302067"/>
    <x v="0"/>
    <s v="EJECUTAR PROGRAMAS DE POSGRADO CON REGISTRO CALIFICADO VIGENTE"/>
  </r>
  <r>
    <x v="0"/>
    <n v="1000000"/>
    <m/>
    <n v="1000000"/>
    <m/>
    <n v="2018011000290"/>
    <x v="0"/>
    <s v="C-3302-1603-2-0-3302070"/>
    <x v="1"/>
    <s v="REALIZAR ACTIVIDADES DE CONSOLIDACIÓN ACADÉMICA"/>
  </r>
  <r>
    <x v="0"/>
    <n v="1362789"/>
    <m/>
    <n v="1362789"/>
    <m/>
    <n v="2018011000290"/>
    <x v="0"/>
    <s v="C-3302-1603-2-0-3302067"/>
    <x v="0"/>
    <s v="EJECUTAR PROGRAMAS DE POSGRADO CON REGISTRO CALIFICADO VIGENTE"/>
  </r>
  <r>
    <x v="0"/>
    <n v="3634104"/>
    <m/>
    <n v="3634104"/>
    <m/>
    <n v="2018011000290"/>
    <x v="0"/>
    <s v="C-3302-1603-2-0-3302067"/>
    <x v="0"/>
    <s v="EJECUTAR PROGRAMAS DE POSGRADO CON REGISTRO CALIFICADO VIGENTE"/>
  </r>
  <r>
    <x v="1"/>
    <n v="6000000"/>
    <m/>
    <n v="6000000"/>
    <m/>
    <n v="2018011000290"/>
    <x v="0"/>
    <s v="C-3302-1603-2-0-3302070"/>
    <x v="1"/>
    <s v="REALIZAR ACTIVIDADES DE CONSOLIDACIÓN ACADÉMICA"/>
  </r>
  <r>
    <x v="0"/>
    <n v="3634104"/>
    <m/>
    <n v="3634104"/>
    <m/>
    <n v="2018011000290"/>
    <x v="0"/>
    <s v="C-3302-1603-2-0-3302067"/>
    <x v="0"/>
    <s v="EJECUTAR PROGRAMAS DE POSGRADO CON REGISTRO CALIFICADO VIGENTE"/>
  </r>
  <r>
    <x v="0"/>
    <n v="6789217"/>
    <m/>
    <n v="6789217"/>
    <m/>
    <n v="2018011000290"/>
    <x v="0"/>
    <s v="C-3302-1603-2-0-3302067"/>
    <x v="0"/>
    <s v="EJECUTAR PROGRAMAS DE POSGRADO CON REGISTRO CALIFICADO VIGENTE"/>
  </r>
  <r>
    <x v="1"/>
    <n v="3104752"/>
    <m/>
    <n v="3104752"/>
    <m/>
    <n v="2018011000290"/>
    <x v="0"/>
    <s v="C-3302-1603-2-0-3302070"/>
    <x v="1"/>
    <s v="REALIZAR ACTIVIDADES DE CONSOLIDACIÓN ACADÉMICA"/>
  </r>
  <r>
    <x v="1"/>
    <n v="3000000"/>
    <m/>
    <n v="3000000"/>
    <m/>
    <n v="2018011000290"/>
    <x v="0"/>
    <s v="C-3302-1603-2-0-3302070"/>
    <x v="1"/>
    <s v="REALIZAR ACTIVIDADES DE CONSOLIDACIÓN ACADÉMICA"/>
  </r>
  <r>
    <x v="0"/>
    <n v="11950000"/>
    <m/>
    <n v="11950000"/>
    <m/>
    <n v="2018011000290"/>
    <x v="0"/>
    <s v="C-3302-1603-2-0-3302067"/>
    <x v="0"/>
    <s v="EJECUTAR PROGRAMAS DE POSGRADO CON REGISTRO CALIFICADO VIGENTE"/>
  </r>
  <r>
    <x v="0"/>
    <n v="1876735"/>
    <m/>
    <n v="1876735"/>
    <m/>
    <n v="2018011000290"/>
    <x v="0"/>
    <s v="C-3302-1603-2-0-3302067"/>
    <x v="0"/>
    <s v="EJECUTAR PROGRAMAS DE POSGRADO CON REGISTRO CALIFICADO VIGENTE"/>
  </r>
  <r>
    <x v="1"/>
    <n v="123265"/>
    <m/>
    <n v="123265"/>
    <m/>
    <n v="2018011000290"/>
    <x v="0"/>
    <s v="C-3302-1603-2-0-3302067"/>
    <x v="0"/>
    <s v="EJECUTAR PROGRAMAS DE POSGRADO CON REGISTRO CALIFICADO VIGENTE"/>
  </r>
  <r>
    <x v="0"/>
    <n v="9781200"/>
    <m/>
    <n v="9781200"/>
    <n v="1630200"/>
    <n v="2018011000290"/>
    <x v="0"/>
    <s v="C-3302-1603-2-0-3302001"/>
    <x v="2"/>
    <s v="DISEÑAR, APROBAR Y EJECUTAR LOS PROYECTOS DE INVESTIGACIÓN"/>
  </r>
  <r>
    <x v="0"/>
    <n v="11025000"/>
    <m/>
    <n v="11025000"/>
    <m/>
    <n v="2018011000319"/>
    <x v="1"/>
    <s v="C-3301-1603-2-0-3301085"/>
    <x v="3"/>
    <s v="ADQUIRIR LAS HERRAMIENTAS TECNOLÓGICAS PARA GARANTIZAR EL FUNCIONAMIENTO DE LA BIBLIOTECA"/>
  </r>
  <r>
    <x v="0"/>
    <n v="15980000"/>
    <m/>
    <n v="15980000"/>
    <m/>
    <n v="2018011000319"/>
    <x v="1"/>
    <s v="C-3301-1603-2-0-3301085"/>
    <x v="3"/>
    <s v="ADQUIRIR LAS HERRAMIENTAS TECNOLÓGICAS PARA GARANTIZAR EL FUNCIONAMIENTO DE LA BIBLIOTECA"/>
  </r>
  <r>
    <x v="0"/>
    <n v="50000000"/>
    <m/>
    <n v="50000000"/>
    <n v="5263158"/>
    <n v="2018011000290"/>
    <x v="0"/>
    <s v="C-3302-1603-2-0-3302066"/>
    <x v="4"/>
    <s v="PROGRAMAR, DISEÑAR Y OFERTAR PROGRAMAS DE EDUCACIÓN INFORMAL"/>
  </r>
  <r>
    <x v="0"/>
    <n v="16800000"/>
    <m/>
    <n v="16800000"/>
    <n v="1976470"/>
    <n v="2018011000290"/>
    <x v="0"/>
    <s v="C-3302-1603-2-0-3302066"/>
    <x v="4"/>
    <s v="PROGRAMAR, DISEÑAR Y OFERTAR PROGRAMAS DE EDUCACIÓN INFORMAL"/>
  </r>
  <r>
    <x v="0"/>
    <n v="40196775"/>
    <m/>
    <n v="40196775"/>
    <n v="4019677"/>
    <n v="2018011000290"/>
    <x v="0"/>
    <s v="C-3302-1603-2-0-3302066"/>
    <x v="4"/>
    <s v="PROGRAMAR, DISEÑAR Y OFERTAR PROGRAMAS DE EDUCACIÓN INFORMAL"/>
  </r>
  <r>
    <x v="0"/>
    <n v="50000000"/>
    <m/>
    <n v="50000000"/>
    <n v="4347826"/>
    <n v="2018011000290"/>
    <x v="0"/>
    <s v="C-3302-1603-2-0-3302066"/>
    <x v="4"/>
    <s v="PROGRAMAR, DISEÑAR Y OFERTAR PROGRAMAS DE EDUCACIÓN INFORMAL"/>
  </r>
  <r>
    <x v="0"/>
    <n v="46785690"/>
    <m/>
    <n v="46785690"/>
    <n v="4678569"/>
    <n v="2018011000290"/>
    <x v="0"/>
    <s v="C-3302-1603-2-0-3302066"/>
    <x v="4"/>
    <s v="PROGRAMAR, DISEÑAR Y OFERTAR PROGRAMAS DE EDUCACIÓN INFORMAL"/>
  </r>
  <r>
    <x v="0"/>
    <n v="3240000"/>
    <m/>
    <n v="3240000"/>
    <m/>
    <n v="2018011000290"/>
    <x v="0"/>
    <s v="C-3302-1603-2-0-3302066"/>
    <x v="4"/>
    <s v="PROGRAMAR, DISEÑAR Y OFERTAR PROGRAMAS DE EDUCACIÓN INFORMAL"/>
  </r>
  <r>
    <x v="0"/>
    <n v="3240000"/>
    <m/>
    <n v="3240000"/>
    <m/>
    <n v="2018011000290"/>
    <x v="0"/>
    <s v="C-3302-1603-2-0-3302066"/>
    <x v="4"/>
    <s v="PROGRAMAR, DISEÑAR Y OFERTAR PROGRAMAS DE EDUCACIÓN INFORMAL"/>
  </r>
  <r>
    <x v="0"/>
    <n v="3240000"/>
    <m/>
    <n v="3240000"/>
    <m/>
    <n v="2018011000290"/>
    <x v="0"/>
    <s v="C-3302-1603-2-0-3302066"/>
    <x v="4"/>
    <s v="PROGRAMAR, DISEÑAR Y OFERTAR PROGRAMAS DE EDUCACIÓN INFORMAL"/>
  </r>
  <r>
    <x v="0"/>
    <n v="3240000"/>
    <m/>
    <n v="3240000"/>
    <m/>
    <n v="2018011000290"/>
    <x v="0"/>
    <s v="C-3302-1603-2-0-3302066"/>
    <x v="4"/>
    <s v="PROGRAMAR, DISEÑAR Y OFERTAR PROGRAMAS DE EDUCACIÓN INFORMAL"/>
  </r>
  <r>
    <x v="0"/>
    <n v="3240000"/>
    <m/>
    <n v="3240000"/>
    <m/>
    <n v="2018011000290"/>
    <x v="0"/>
    <s v="C-3302-1603-2-0-3302066"/>
    <x v="4"/>
    <s v="PROGRAMAR, DISEÑAR Y OFERTAR PROGRAMAS DE EDUCACIÓN INFORMAL"/>
  </r>
  <r>
    <x v="0"/>
    <n v="3240000"/>
    <m/>
    <n v="3240000"/>
    <m/>
    <n v="2018011000290"/>
    <x v="0"/>
    <s v="C-3302-1603-2-0-3302066"/>
    <x v="4"/>
    <s v="PROGRAMAR, DISEÑAR Y OFERTAR PROGRAMAS DE EDUCACIÓN INFORMAL"/>
  </r>
  <r>
    <x v="0"/>
    <n v="3240000"/>
    <m/>
    <n v="3240000"/>
    <m/>
    <n v="2018011000290"/>
    <x v="0"/>
    <s v="C-3302-1603-2-0-3302066"/>
    <x v="4"/>
    <s v="PROGRAMAR, DISEÑAR Y OFERTAR PROGRAMAS DE EDUCACIÓN INFORMAL"/>
  </r>
  <r>
    <x v="0"/>
    <n v="3240000"/>
    <m/>
    <n v="3240000"/>
    <m/>
    <n v="2018011000290"/>
    <x v="0"/>
    <s v="C-3302-1603-2-0-3302066"/>
    <x v="4"/>
    <s v="PROGRAMAR, DISEÑAR Y OFERTAR PROGRAMAS DE EDUCACIÓN INFORMAL"/>
  </r>
  <r>
    <x v="0"/>
    <n v="3240000"/>
    <m/>
    <n v="3240000"/>
    <m/>
    <n v="2018011000290"/>
    <x v="0"/>
    <s v="C-3302-1603-2-0-3302066"/>
    <x v="4"/>
    <s v="PROGRAMAR, DISEÑAR Y OFERTAR PROGRAMAS DE EDUCACIÓN INFORMAL"/>
  </r>
  <r>
    <x v="0"/>
    <n v="3240000"/>
    <m/>
    <n v="3240000"/>
    <m/>
    <n v="2018011000290"/>
    <x v="0"/>
    <s v="C-3302-1603-2-0-3302066"/>
    <x v="4"/>
    <s v="PROGRAMAR, DISEÑAR Y OFERTAR PROGRAMAS DE EDUCACIÓN INFORMAL"/>
  </r>
  <r>
    <x v="0"/>
    <n v="3230760"/>
    <m/>
    <n v="3230760"/>
    <m/>
    <n v="2018011000290"/>
    <x v="0"/>
    <s v="C-3302-1603-2-0-3302066"/>
    <x v="4"/>
    <s v="PROGRAMAR, DISEÑAR Y OFERTAR PROGRAMAS DE EDUCACIÓN INFORMAL"/>
  </r>
  <r>
    <x v="0"/>
    <n v="6461520"/>
    <m/>
    <n v="6461520"/>
    <m/>
    <n v="2018011000290"/>
    <x v="0"/>
    <s v="C-3302-1603-2-0-3302066"/>
    <x v="4"/>
    <s v="PROGRAMAR, DISEÑAR Y OFERTAR PROGRAMAS DE EDUCACIÓN INFORMAL"/>
  </r>
  <r>
    <x v="0"/>
    <n v="1350000"/>
    <m/>
    <n v="1350000"/>
    <m/>
    <n v="2018011000290"/>
    <x v="0"/>
    <s v="C-3302-1603-2-0-3302066"/>
    <x v="4"/>
    <s v="PROGRAMAR, DISEÑAR Y OFERTAR PROGRAMAS DE EDUCACIÓN INFORMAL"/>
  </r>
  <r>
    <x v="0"/>
    <n v="1620000"/>
    <m/>
    <n v="1620000"/>
    <m/>
    <n v="2018011000290"/>
    <x v="0"/>
    <s v="C-3302-1603-2-0-3302066"/>
    <x v="4"/>
    <s v="PROGRAMAR, DISEÑAR Y OFERTAR PROGRAMAS DE EDUCACIÓN INFORMAL"/>
  </r>
  <r>
    <x v="0"/>
    <n v="2240723"/>
    <m/>
    <n v="2240723"/>
    <m/>
    <n v="2018011000290"/>
    <x v="0"/>
    <s v="C-3302-1603-2-0-3302066"/>
    <x v="4"/>
    <s v="PROGRAMAR, DISEÑAR Y OFERTAR PROGRAMAS DE EDUCACIÓN INFORMAL"/>
  </r>
  <r>
    <x v="0"/>
    <n v="25693446"/>
    <m/>
    <n v="25693446"/>
    <m/>
    <n v="2018011000290"/>
    <x v="0"/>
    <s v="C-3302-1603-2-0-3302070"/>
    <x v="1"/>
    <s v="REALIZAR ACTIVIDADES DE CONSOLIDACIÓN ACADÉMICA"/>
  </r>
  <r>
    <x v="0"/>
    <n v="4306554"/>
    <m/>
    <n v="4306554"/>
    <m/>
    <n v="2018011000319"/>
    <x v="1"/>
    <s v="C-3301-1603-2-0-3301085"/>
    <x v="3"/>
    <s v="ADQUIRIR LAS HERRAMIENTAS TECNOLÓGICAS PARA GARANTIZAR EL FUNCIONAMIENTO DE LA BIBLIOTECA"/>
  </r>
  <r>
    <x v="1"/>
    <n v="26365813"/>
    <m/>
    <n v="26365813"/>
    <m/>
    <n v="2018011000319"/>
    <x v="1"/>
    <s v="C-3301-1603-2-0-3301085"/>
    <x v="3"/>
    <s v="ADQUIRIR LAS HERRAMIENTAS TECNOLÓGICAS PARA GARANTIZAR EL FUNCIONAMIENTO DE LA BIBLIOTECA"/>
  </r>
  <r>
    <x v="0"/>
    <n v="634187"/>
    <m/>
    <n v="634187"/>
    <m/>
    <n v="2018011000319"/>
    <x v="1"/>
    <s v="C-3301-1603-2-0-3301085"/>
    <x v="3"/>
    <s v="ADQUIRIR LAS HERRAMIENTAS TECNOLÓGICAS PARA GARANTIZAR EL FUNCIONAMIENTO DE LA BIBLIOTECA"/>
  </r>
  <r>
    <x v="0"/>
    <n v="34260574"/>
    <m/>
    <n v="34260574"/>
    <m/>
    <n v="2018011000319"/>
    <x v="1"/>
    <s v="C-3301-1603-2-0-3301085"/>
    <x v="3"/>
    <s v="ADQUIRIR LAS HERRAMIENTAS TECNOLÓGICAS PARA GARANTIZAR EL FUNCIONAMIENTO DE LA BIBLIOTECA"/>
  </r>
  <r>
    <x v="1"/>
    <n v="14619696"/>
    <m/>
    <n v="14619696"/>
    <m/>
    <n v="2018011000319"/>
    <x v="1"/>
    <s v="C-3301-1603-2-0-3301085"/>
    <x v="3"/>
    <s v="ADQUIRIR LAS HERRAMIENTAS TECNOLÓGICAS PARA GARANTIZAR EL FUNCIONAMIENTO DE LA BIBLIOTECA"/>
  </r>
  <r>
    <x v="1"/>
    <n v="15380304"/>
    <m/>
    <n v="15380304"/>
    <m/>
    <n v="2018011000319"/>
    <x v="1"/>
    <s v="C-3301-1603-2-0-3301085"/>
    <x v="3"/>
    <s v="ADQUIRIR LAS HERRAMIENTAS TECNOLÓGICAS PARA GARANTIZAR EL FUNCIONAMIENTO DE LA BIBLIOTECA"/>
  </r>
  <r>
    <x v="0"/>
    <n v="3923956"/>
    <m/>
    <n v="3923956"/>
    <m/>
    <n v="2018011000319"/>
    <x v="1"/>
    <s v="C-3301-1603-2-0-3301085"/>
    <x v="3"/>
    <s v="ADQUIRIR LAS HERRAMIENTAS TECNOLÓGICAS PARA GARANTIZAR EL FUNCIONAMIENTO DE LA BIBLIOTECA"/>
  </r>
  <r>
    <x v="0"/>
    <n v="2429400"/>
    <m/>
    <n v="2429400"/>
    <m/>
    <n v="2018011000319"/>
    <x v="1"/>
    <s v="C-3301-1603-2-0-3301085"/>
    <x v="3"/>
    <s v="ADQUIRIR LAS HERRAMIENTAS TECNOLÓGICAS PARA GARANTIZAR EL FUNCIONAMIENTO DE LA BIBLIOTECA"/>
  </r>
  <r>
    <x v="0"/>
    <n v="13500000"/>
    <m/>
    <n v="13500000"/>
    <m/>
    <n v="2018011000319"/>
    <x v="1"/>
    <s v="C-3301-1603-2-0-3301085"/>
    <x v="3"/>
    <s v="ADQUIRIR LAS HERRAMIENTAS TECNOLÓGICAS PARA GARANTIZAR EL FUNCIONAMIENTO DE LA BIBLIOTECA"/>
  </r>
  <r>
    <x v="1"/>
    <n v="2500000"/>
    <m/>
    <n v="2500000"/>
    <m/>
    <n v="2018011000290"/>
    <x v="0"/>
    <s v="C-3302-1603-2-0-3302070"/>
    <x v="1"/>
    <s v="REALIZAR ACTIVIDADES DE CONSOLIDACIÓN ACADÉMICA"/>
  </r>
  <r>
    <x v="1"/>
    <n v="2800000"/>
    <m/>
    <n v="2800000"/>
    <m/>
    <n v="2018011000290"/>
    <x v="0"/>
    <s v="C-3302-1603-2-0-3302070"/>
    <x v="1"/>
    <s v="REALIZAR ACTIVIDADES DE CONSOLIDACIÓN ACADÉMICA"/>
  </r>
  <r>
    <x v="1"/>
    <n v="500000"/>
    <m/>
    <n v="500000"/>
    <m/>
    <n v="2018011000290"/>
    <x v="0"/>
    <s v="C-3302-1603-2-0-3302070"/>
    <x v="1"/>
    <s v="REALIZAR ACTIVIDADES DE CONSOLIDACIÓN ACADÉMICA"/>
  </r>
  <r>
    <x v="0"/>
    <n v="22000000"/>
    <m/>
    <n v="22000000"/>
    <m/>
    <n v="2018011000290"/>
    <x v="0"/>
    <s v="C-3302-1603-2-0-3302070"/>
    <x v="1"/>
    <s v="REALIZAR ACTIVIDADES DE CONSOLIDACIÓN ACADÉMICA"/>
  </r>
  <r>
    <x v="0"/>
    <n v="18000000"/>
    <m/>
    <n v="18000000"/>
    <m/>
    <n v="2018011000290"/>
    <x v="0"/>
    <s v="C-3302-1603-2-0-3302070"/>
    <x v="1"/>
    <s v="REALIZAR ACTIVIDADES DE CONSOLIDACIÓN ACADÉMICA"/>
  </r>
  <r>
    <x v="1"/>
    <n v="1500000"/>
    <m/>
    <n v="1500000"/>
    <m/>
    <n v="2018011000290"/>
    <x v="0"/>
    <s v="C-3302-1603-2-0-3302070"/>
    <x v="1"/>
    <s v="REALIZAR ACTIVIDADES DE CONSOLIDACIÓN ACADÉMICA"/>
  </r>
  <r>
    <x v="0"/>
    <n v="6600000"/>
    <m/>
    <n v="6600000"/>
    <m/>
    <n v="2018011000290"/>
    <x v="0"/>
    <s v="C-3302-1603-2-0-3302070"/>
    <x v="1"/>
    <s v="REALIZAR ACTIVIDADES DE CONSOLIDACIÓN ACADÉMICA"/>
  </r>
  <r>
    <x v="1"/>
    <n v="3693867"/>
    <m/>
    <n v="3693867"/>
    <m/>
    <n v="2018011000284"/>
    <x v="2"/>
    <s v="C-3399-1603-4-0-3399016"/>
    <x v="5"/>
    <s v=" REALIZAR MANTENIMIENTO A ELEMENTOS NO ESTRUCTURALES DE LAS SEDES "/>
  </r>
  <r>
    <x v="1"/>
    <n v="1290040"/>
    <m/>
    <n v="1290040"/>
    <m/>
    <n v="2018011000290"/>
    <x v="0"/>
    <s v="C-3302-1603-2-0-3302004"/>
    <x v="6"/>
    <s v="DISEÑAR, PREPARAR Y REALIZAR EXPOSICIONES EN SALAS MUSEALES"/>
  </r>
  <r>
    <x v="0"/>
    <n v="2993982"/>
    <m/>
    <n v="2993982"/>
    <m/>
    <n v="2018011000290"/>
    <x v="0"/>
    <s v="C-3302-1603-2-0-3302070"/>
    <x v="1"/>
    <s v="REALIZAR ACTIVIDADES DE CONSOLIDACIÓN ACADÉMICA"/>
  </r>
  <r>
    <x v="0"/>
    <n v="3006018"/>
    <m/>
    <n v="3006018"/>
    <m/>
    <n v="2018011000290"/>
    <x v="0"/>
    <s v="C-3302-1603-2-0-3302070"/>
    <x v="6"/>
    <s v="DISEÑAR, PREPARAR Y REALIZAR EXPOSICIONES EN SALAS MUSEALES"/>
  </r>
  <r>
    <x v="0"/>
    <n v="5600000"/>
    <m/>
    <n v="5600000"/>
    <m/>
    <n v="2018011000284"/>
    <x v="2"/>
    <s v="C-3399-1603-4-0-3399016"/>
    <x v="5"/>
    <s v=" REALIZAR MANTENIMIENTO A ELEMENTOS NO ESTRUCTURALES DE LAS SEDES "/>
  </r>
  <r>
    <x v="0"/>
    <n v="20000000"/>
    <m/>
    <n v="20000000"/>
    <m/>
    <n v="2018011000290"/>
    <x v="0"/>
    <s v="C-3302-1603-2-0-3302004"/>
    <x v="6"/>
    <s v="DISEÑAR, PREPARAR Y REALIZAR EXPOSICIONES EN SALAS MUSEALES"/>
  </r>
  <r>
    <x v="0"/>
    <n v="12214204"/>
    <m/>
    <n v="12214204"/>
    <m/>
    <n v="2018011000290"/>
    <x v="0"/>
    <s v="C-3302-1603-2-0-3302004"/>
    <x v="6"/>
    <s v="DISEÑAR, PREPARAR Y REALIZAR EXPOSICIONES EN SALAS MUSEALES"/>
  </r>
  <r>
    <x v="0"/>
    <n v="10694888"/>
    <m/>
    <n v="10694888"/>
    <m/>
    <n v="2018011000290"/>
    <x v="0"/>
    <s v="C-3302-1603-2-0-3302068"/>
    <x v="7"/>
    <s v="DISEÑAR, MONTAR, EDITAR, GRABAR Y PRODUCIR LA PROGRAMACIÓN"/>
  </r>
  <r>
    <x v="0"/>
    <n v="7000000"/>
    <m/>
    <n v="7000000"/>
    <m/>
    <n v="2018011000290"/>
    <x v="0"/>
    <s v="C-3302-1603-2-0-3302070"/>
    <x v="1"/>
    <s v="REALIZAR ACTIVIDADES DE CONSOLIDACIÓN ACADÉMICA"/>
  </r>
  <r>
    <x v="0"/>
    <n v="9000000"/>
    <m/>
    <n v="9000000"/>
    <m/>
    <n v="2018011000290"/>
    <x v="0"/>
    <s v="C-3302-1603-2-0-3302070"/>
    <x v="1"/>
    <s v="REALIZAR ACTIVIDADES DE CONSOLIDACIÓN ACADÉMICA"/>
  </r>
  <r>
    <x v="0"/>
    <n v="9000000"/>
    <m/>
    <n v="9000000"/>
    <m/>
    <n v="2018011000290"/>
    <x v="0"/>
    <s v="C-3302-1603-2-0-3302070"/>
    <x v="1"/>
    <s v="REALIZAR ACTIVIDADES DE CONSOLIDACIÓN ACADÉMICA"/>
  </r>
  <r>
    <x v="0"/>
    <n v="71069692"/>
    <m/>
    <n v="71069692"/>
    <n v="6179973"/>
    <n v="2018011000284"/>
    <x v="2"/>
    <s v="C-3399-1603-4-0-3399056"/>
    <x v="8"/>
    <s v=" DISEÑAR HERRAMIENTAS PARA ORIENTAR LA PLANEACIÓN INSTITUCIONAL "/>
  </r>
  <r>
    <x v="0"/>
    <n v="132000000"/>
    <m/>
    <n v="132000000"/>
    <m/>
    <n v="2018011000290"/>
    <x v="0"/>
    <s v="C-3302-1603-2-0-3302001"/>
    <x v="2"/>
    <s v="DISEÑAR, APROBAR Y EJECUTAR LOS PROYECTOS DE INVESTIGACIÓN"/>
  </r>
  <r>
    <x v="1"/>
    <n v="8000000"/>
    <m/>
    <n v="8000000"/>
    <m/>
    <n v="2018011000290"/>
    <x v="0"/>
    <s v="C-3302-1603-2-0-3302070"/>
    <x v="1"/>
    <s v="REALIZAR ACTIVIDADES DE CONSOLIDACIÓN ACADÉMICA"/>
  </r>
  <r>
    <x v="0"/>
    <n v="25000000"/>
    <m/>
    <n v="25000000"/>
    <m/>
    <n v="2018011000290"/>
    <x v="0"/>
    <s v="C-3302-1603-2-0-3302070"/>
    <x v="1"/>
    <s v="REALIZAR ACTIVIDADES DE CONSOLIDACIÓN ACADÉMICA"/>
  </r>
  <r>
    <x v="0"/>
    <n v="25000000"/>
    <m/>
    <n v="25000000"/>
    <m/>
    <n v="2018011000290"/>
    <x v="0"/>
    <s v="C-3302-1603-2-0-3302001"/>
    <x v="2"/>
    <s v="DISEÑAR, APROBAR Y EJECUTAR LOS PROYECTOS DE INVESTIGACIÓN"/>
  </r>
  <r>
    <x v="0"/>
    <n v="19096200"/>
    <m/>
    <n v="19096200"/>
    <n v="1909620"/>
    <n v="2018011000290"/>
    <x v="0"/>
    <s v="C-3302-1603-2-0-3302001"/>
    <x v="2"/>
    <s v="DISEÑAR, APROBAR Y EJECUTAR LOS PROYECTOS DE INVESTIGACIÓN"/>
  </r>
  <r>
    <x v="0"/>
    <n v="19096200"/>
    <m/>
    <n v="19096200"/>
    <n v="1909620"/>
    <n v="2018011000290"/>
    <x v="0"/>
    <s v="C-3302-1603-2-0-3302001"/>
    <x v="2"/>
    <s v="DISEÑAR, APROBAR Y EJECUTAR LOS PROYECTOS DE INVESTIGACIÓN"/>
  </r>
  <r>
    <x v="0"/>
    <n v="73520370"/>
    <m/>
    <n v="73520370"/>
    <n v="6683670"/>
    <n v="2018011000290"/>
    <x v="0"/>
    <s v="C-3302-1603-2-0-3302067"/>
    <x v="0"/>
    <s v="EJECUTAR PROGRAMAS DE POSGRADO CON REGISTRO CALIFICADO VIGENTE"/>
  </r>
  <r>
    <x v="0"/>
    <n v="55140278"/>
    <m/>
    <n v="55140278"/>
    <n v="5251455"/>
    <n v="2018011000290"/>
    <x v="0"/>
    <s v="C-3302-1603-2-0-3302067"/>
    <x v="0"/>
    <s v="EJECUTAR PROGRAMAS DE POSGRADO CON REGISTRO CALIFICADO VIGENTE"/>
  </r>
  <r>
    <x v="0"/>
    <n v="55140278"/>
    <m/>
    <n v="55140278"/>
    <n v="5251455"/>
    <n v="2018011000290"/>
    <x v="0"/>
    <s v="C-3302-1603-2-0-3302067"/>
    <x v="0"/>
    <s v="EJECUTAR PROGRAMAS DE POSGRADO CON REGISTRO CALIFICADO VIGENTE"/>
  </r>
  <r>
    <x v="0"/>
    <n v="55140278"/>
    <m/>
    <n v="55140278"/>
    <n v="5251455"/>
    <n v="2018011000290"/>
    <x v="0"/>
    <s v="C-3302-1603-2-0-3302067"/>
    <x v="0"/>
    <s v="EJECUTAR PROGRAMAS DE POSGRADO CON REGISTRO CALIFICADO VIGENTE"/>
  </r>
  <r>
    <x v="0"/>
    <n v="58482113"/>
    <m/>
    <n v="58482113"/>
    <n v="5569725"/>
    <n v="2018011000290"/>
    <x v="0"/>
    <s v="C-3302-1603-2-0-3302067"/>
    <x v="0"/>
    <s v="EJECUTAR PROGRAMAS DE POSGRADO CON REGISTRO CALIFICADO VIGENTE"/>
  </r>
  <r>
    <x v="0"/>
    <n v="9658311"/>
    <m/>
    <n v="9658311"/>
    <n v="2414577"/>
    <n v="2018011000290"/>
    <x v="0"/>
    <s v="C-3302-1603-2-0-3302067"/>
    <x v="0"/>
    <s v="EJECUTAR PROGRAMAS DE POSGRADO CON REGISTRO CALIFICADO VIGENTE"/>
  </r>
  <r>
    <x v="0"/>
    <n v="46785690"/>
    <m/>
    <n v="46785690"/>
    <n v="4455780"/>
    <n v="2018011000290"/>
    <x v="0"/>
    <s v="C-3302-1603-2-0-3302067"/>
    <x v="0"/>
    <s v="EJECUTAR PROGRAMAS DE POSGRADO CON REGISTRO CALIFICADO VIGENTE"/>
  </r>
  <r>
    <x v="0"/>
    <n v="52633901"/>
    <m/>
    <n v="52633901"/>
    <n v="5012752"/>
    <n v="2018011000290"/>
    <x v="0"/>
    <s v="C-3302-1603-2-0-3302067"/>
    <x v="0"/>
    <s v="EJECUTAR PROGRAMAS DE POSGRADO CON REGISTRO CALIFICADO VIGENTE"/>
  </r>
  <r>
    <x v="0"/>
    <n v="64582288"/>
    <n v="-6100176"/>
    <n v="58482112"/>
    <n v="5569725"/>
    <n v="2018011000290"/>
    <x v="0"/>
    <s v="C-3302-1603-2-0-3302067"/>
    <x v="0"/>
    <s v="EJECUTAR PROGRAMAS DE POSGRADO CON REGISTRO CALIFICADO VIGENTE"/>
  </r>
  <r>
    <x v="0"/>
    <n v="0"/>
    <n v="6100176"/>
    <n v="6100176"/>
    <n v="1016696"/>
    <n v="2018011000290"/>
    <x v="0"/>
    <s v="C-3302-1603-2-0-3302067"/>
    <x v="0"/>
    <s v="EJECUTAR PROGRAMAS DE POSGRADO CON REGISTRO CALIFICADO VIGENTE"/>
  </r>
  <r>
    <x v="0"/>
    <n v="73520370"/>
    <m/>
    <n v="73520370"/>
    <n v="6683670"/>
    <n v="2018011000290"/>
    <x v="0"/>
    <s v="C-3302-1603-2-0-3302067"/>
    <x v="0"/>
    <s v="EJECUTAR PROGRAMAS DE POSGRADO CON REGISTRO CALIFICADO VIGENTE"/>
  </r>
  <r>
    <x v="0"/>
    <n v="15432696"/>
    <m/>
    <n v="15432696"/>
    <n v="1929087"/>
    <n v="2018011000290"/>
    <x v="0"/>
    <s v="C-3302-1603-2-0-3302066"/>
    <x v="4"/>
    <s v="PROGRAMAR, DISEÑAR Y OFERTAR PROGRAMAS DE EDUCACIÓN INFORMAL"/>
  </r>
  <r>
    <x v="0"/>
    <n v="7007800"/>
    <m/>
    <n v="7007800"/>
    <m/>
    <n v="2018011000290"/>
    <x v="0"/>
    <s v="C-3302-1603-2-0-3302067"/>
    <x v="0"/>
    <s v="EJECUTAR PROGRAMAS DE POSGRADO CON REGISTRO CALIFICADO VIGENTE"/>
  </r>
  <r>
    <x v="0"/>
    <n v="88644560"/>
    <m/>
    <n v="88644560"/>
    <n v="8058596"/>
    <n v="2018011000290"/>
    <x v="0"/>
    <s v="C-3302-1603-2-0-3302067"/>
    <x v="0"/>
    <s v="EJECUTAR PROGRAMAS DE POSGRADO CON REGISTRO CALIFICADO VIGENTE"/>
  </r>
  <r>
    <x v="0"/>
    <n v="52633371"/>
    <m/>
    <n v="52633371"/>
    <n v="5012702"/>
    <n v="2018011000290"/>
    <x v="0"/>
    <s v="C-3302-1603-2-0-3302067"/>
    <x v="0"/>
    <s v="EJECUTAR PROGRAMAS DE POSGRADO CON REGISTRO CALIFICADO VIGENTE"/>
  </r>
  <r>
    <x v="0"/>
    <n v="52633371"/>
    <m/>
    <n v="52633371"/>
    <n v="5012702"/>
    <n v="2018011000290"/>
    <x v="0"/>
    <s v="C-3302-1603-2-0-3302067"/>
    <x v="0"/>
    <s v="EJECUTAR PROGRAMAS DE POSGRADO CON REGISTRO CALIFICADO VIGENTE"/>
  </r>
  <r>
    <x v="0"/>
    <n v="52633371"/>
    <m/>
    <n v="52633371"/>
    <n v="5012702"/>
    <n v="2018011000290"/>
    <x v="0"/>
    <s v="C-3302-1603-2-0-3302067"/>
    <x v="0"/>
    <s v="EJECUTAR PROGRAMAS DE POSGRADO CON REGISTRO CALIFICADO VIGENTE"/>
  </r>
  <r>
    <x v="0"/>
    <n v="63336503"/>
    <m/>
    <n v="63336503"/>
    <n v="6032047"/>
    <n v="2018011000290"/>
    <x v="0"/>
    <s v="C-3302-1603-2-0-3302067"/>
    <x v="0"/>
    <s v="EJECUTAR PROGRAMAS DE POSGRADO CON REGISTRO CALIFICADO VIGENTE"/>
  </r>
  <r>
    <x v="0"/>
    <n v="58482112"/>
    <m/>
    <n v="58482112"/>
    <n v="5569725"/>
    <n v="2018011000290"/>
    <x v="0"/>
    <s v="C-3302-1603-2-0-3302067"/>
    <x v="0"/>
    <s v="EJECUTAR PROGRAMAS DE POSGRADO CON REGISTRO CALIFICADO VIGENTE"/>
  </r>
  <r>
    <x v="0"/>
    <n v="52633901"/>
    <m/>
    <n v="52633901"/>
    <n v="5012752"/>
    <n v="2018011000290"/>
    <x v="0"/>
    <s v="C-3302-1603-2-0-3302067"/>
    <x v="0"/>
    <s v="EJECUTAR PROGRAMAS DE POSGRADO CON REGISTRO CALIFICADO VIGENTE"/>
  </r>
  <r>
    <x v="0"/>
    <n v="52633901"/>
    <m/>
    <n v="52633901"/>
    <n v="5012753"/>
    <n v="2018011000290"/>
    <x v="0"/>
    <s v="C-3302-1603-2-0-3302067"/>
    <x v="0"/>
    <s v="EJECUTAR PROGRAMAS DE POSGRADO CON REGISTRO CALIFICADO VIGENTE"/>
  </r>
  <r>
    <x v="0"/>
    <n v="82790370"/>
    <m/>
    <n v="82790370"/>
    <n v="7526397"/>
    <n v="2018011000290"/>
    <x v="0"/>
    <s v="C-3302-1603-2-0-3302067"/>
    <x v="0"/>
    <s v="EJECUTAR PROGRAMAS DE POSGRADO CON REGISTRO CALIFICADO VIGENTE"/>
  </r>
  <r>
    <x v="0"/>
    <n v="70841031"/>
    <m/>
    <n v="70841031"/>
    <n v="6746764"/>
    <n v="2018011000290"/>
    <x v="0"/>
    <s v="C-3302-1603-2-0-3302067"/>
    <x v="0"/>
    <s v="EJECUTAR PROGRAMAS DE POSGRADO CON REGISTRO CALIFICADO VIGENTE"/>
  </r>
  <r>
    <x v="0"/>
    <n v="58633906"/>
    <m/>
    <n v="58633906"/>
    <n v="5584181"/>
    <n v="2018011000290"/>
    <x v="0"/>
    <s v="C-3302-1603-2-0-3302067"/>
    <x v="0"/>
    <s v="EJECUTAR PROGRAMAS DE POSGRADO CON REGISTRO CALIFICADO VIGENTE"/>
  </r>
  <r>
    <x v="0"/>
    <n v="26454797"/>
    <n v="-3260760"/>
    <n v="23194037"/>
    <n v="2208955"/>
    <n v="2018011000290"/>
    <x v="0"/>
    <s v="C-3302-1603-2-0-3302067"/>
    <x v="0"/>
    <s v="EJECUTAR PROGRAMAS DE POSGRADO CON REGISTRO CALIFICADO VIGENTE"/>
  </r>
  <r>
    <x v="0"/>
    <n v="52035690"/>
    <m/>
    <n v="52035690"/>
    <n v="4955780"/>
    <n v="2018011000290"/>
    <x v="0"/>
    <s v="C-3302-1603-2-0-3302067"/>
    <x v="0"/>
    <s v="EJECUTAR PROGRAMAS DE POSGRADO CON REGISTRO CALIFICADO VIGENTE"/>
  </r>
  <r>
    <x v="0"/>
    <n v="61457443"/>
    <m/>
    <n v="61457443"/>
    <n v="5587040"/>
    <n v="2018011000290"/>
    <x v="0"/>
    <s v="C-3302-1603-2-0-3302067"/>
    <x v="0"/>
    <s v="EJECUTAR PROGRAMAS DE POSGRADO CON REGISTRO CALIFICADO VIGENTE"/>
  </r>
  <r>
    <x v="0"/>
    <n v="46785690"/>
    <m/>
    <n v="46785690"/>
    <n v="4455780"/>
    <n v="2018011000290"/>
    <x v="0"/>
    <s v="C-3302-1603-2-0-3302067"/>
    <x v="0"/>
    <s v="EJECUTAR PROGRAMAS DE POSGRADO CON REGISTRO CALIFICADO VIGENTE"/>
  </r>
  <r>
    <x v="0"/>
    <n v="29871414"/>
    <n v="-7360555"/>
    <n v="22510859"/>
    <n v="2143891"/>
    <n v="2018011000290"/>
    <x v="0"/>
    <s v="C-3302-1603-2-0-3302067"/>
    <x v="0"/>
    <s v="EJECUTAR PROGRAMAS DE POSGRADO CON REGISTRO CALIFICADO VIGENTE"/>
  </r>
  <r>
    <x v="0"/>
    <n v="41046073"/>
    <m/>
    <n v="41046073"/>
    <n v="4986230"/>
    <n v="2018011000284"/>
    <x v="2"/>
    <s v="C-3399-1603-4-0-3399061"/>
    <x v="9"/>
    <s v=" ADAPTAR EL MODELO INTEGRADO DE PLANEACIÓN Y GESTIÓN AL INSTITUTO "/>
  </r>
  <r>
    <x v="0"/>
    <n v="16295572"/>
    <m/>
    <n v="16295572"/>
    <m/>
    <n v="2018011000290"/>
    <x v="0"/>
    <s v="C-3302-1603-2-0-3302067"/>
    <x v="0"/>
    <s v="EJECUTAR PROGRAMAS DE POSGRADO CON REGISTRO CALIFICADO VIGENTE"/>
  </r>
  <r>
    <x v="0"/>
    <n v="65252480"/>
    <n v="-4378685"/>
    <n v="60873795"/>
    <n v="6214521"/>
    <n v="2018011000290"/>
    <x v="0"/>
    <s v="C-3302-1603-2-0-3302067"/>
    <x v="0"/>
    <s v="EJECUTAR PROGRAMAS DE POSGRADO CON REGISTRO CALIFICADO VIGENTE"/>
  </r>
  <r>
    <x v="0"/>
    <n v="0"/>
    <n v="15000000"/>
    <n v="15000000"/>
    <m/>
    <n v="2018011000290"/>
    <x v="0"/>
    <s v="C-3302-1603-2-0-3302067"/>
    <x v="0"/>
    <s v="EJECUTAR PROGRAMAS DE POSGRADO CON REGISTRO CALIFICADO VIGENTE"/>
  </r>
  <r>
    <x v="1"/>
    <n v="6000000"/>
    <m/>
    <n v="6000000"/>
    <m/>
    <n v="2018011000290"/>
    <x v="0"/>
    <s v="C-3302-1603-2-0-3302070"/>
    <x v="1"/>
    <s v="REALIZAR ACTIVIDADES DE CONSOLIDACIÓN ACADÉMICA"/>
  </r>
  <r>
    <x v="0"/>
    <n v="65252484"/>
    <m/>
    <n v="65252484"/>
    <n v="5932044"/>
    <n v="2018011000290"/>
    <x v="0"/>
    <s v="C-3302-1603-2-0-3302067"/>
    <x v="0"/>
    <s v="EJECUTAR PROGRAMAS DE POSGRADO CON REGISTRO CALIFICADO VIGENTE"/>
  </r>
  <r>
    <x v="0"/>
    <n v="42408190"/>
    <m/>
    <n v="42408190"/>
    <n v="4240819"/>
    <n v="2018011000290"/>
    <x v="0"/>
    <s v="C-3302-1603-2-0-3302067"/>
    <x v="0"/>
    <s v="EJECUTAR PROGRAMAS DE POSGRADO CON REGISTRO CALIFICADO VIGENTE"/>
  </r>
  <r>
    <x v="1"/>
    <n v="4000000"/>
    <m/>
    <n v="4000000"/>
    <m/>
    <n v="2018011000290"/>
    <x v="0"/>
    <s v="C-3302-1603-2-0-3302067"/>
    <x v="0"/>
    <s v="EJECUTAR PROGRAMAS DE POSGRADO CON REGISTRO CALIFICADO VIGENTE"/>
  </r>
  <r>
    <x v="0"/>
    <n v="45000000"/>
    <m/>
    <n v="45000000"/>
    <m/>
    <n v="2018011000284"/>
    <x v="2"/>
    <s v="C-3399-1603-4-0-3399056"/>
    <x v="8"/>
    <s v=" DISEÑAR HERRAMIENTAS PARA ORIENTAR LA PLANEACIÓN INSTITUCIONAL "/>
  </r>
  <r>
    <x v="0"/>
    <n v="9000000"/>
    <m/>
    <n v="9000000"/>
    <n v="3904761"/>
    <n v="2018011000284"/>
    <x v="2"/>
    <s v="C-3399-1603-4-0-3399061"/>
    <x v="9"/>
    <s v=" ADAPTAR EL MODELO INTEGRADO DE PLANEACIÓN Y GESTIÓN AL INSTITUTO "/>
  </r>
  <r>
    <x v="0"/>
    <n v="23140526"/>
    <m/>
    <n v="23140526"/>
    <n v="3904761"/>
    <n v="2018011000290"/>
    <x v="0"/>
    <s v="C-3302-1603-2-0-3302070"/>
    <x v="1"/>
    <s v="REALIZAR ACTIVIDADES DE CONSOLIDACIÓN ACADÉMICA"/>
  </r>
  <r>
    <x v="0"/>
    <n v="8859474"/>
    <m/>
    <n v="8859474"/>
    <n v="3904761"/>
    <n v="2018011000284"/>
    <x v="2"/>
    <s v="C-3399-1603-4-0-3399061"/>
    <x v="9"/>
    <s v=" ADAPTAR EL MODELO INTEGRADO DE PLANEACIÓN Y GESTIÓN AL INSTITUTO "/>
  </r>
  <r>
    <x v="1"/>
    <n v="23104109"/>
    <m/>
    <n v="23104109"/>
    <m/>
    <n v="2018011000284"/>
    <x v="2"/>
    <s v="C-3399-1603-4-0-3399016"/>
    <x v="5"/>
    <s v=" REALIZAR MANTENIMIENTO A ELEMENTOS NO ESTRUCTURALES DE LAS SEDES "/>
  </r>
  <r>
    <x v="0"/>
    <n v="25895891"/>
    <m/>
    <n v="25895891"/>
    <n v="7000000"/>
    <n v="2018011000284"/>
    <x v="2"/>
    <s v="C-3399-1603-4-0-3399016"/>
    <x v="5"/>
    <s v=" REALIZAR MANTENIMIENTO A ELEMENTOS NO ESTRUCTURALES DE LAS SEDES "/>
  </r>
  <r>
    <x v="0"/>
    <n v="22278900"/>
    <m/>
    <n v="22278900"/>
    <n v="2227890"/>
    <n v="2018011000284"/>
    <x v="2"/>
    <s v="C-3399-1603-4-0-3399061"/>
    <x v="9"/>
    <s v=" ADAPTAR EL MODELO INTEGRADO DE PLANEACIÓN Y GESTIÓN AL INSTITUTO "/>
  </r>
  <r>
    <x v="0"/>
    <n v="22278900"/>
    <m/>
    <n v="22278900"/>
    <n v="2227890"/>
    <n v="2018011000284"/>
    <x v="2"/>
    <s v="C-3399-1603-4-0-3399061"/>
    <x v="9"/>
    <s v=" ADAPTAR EL MODELO INTEGRADO DE PLANEACIÓN Y GESTIÓN AL INSTITUTO "/>
  </r>
  <r>
    <x v="0"/>
    <n v="40356184"/>
    <m/>
    <n v="40356184"/>
    <n v="3668744"/>
    <n v="2018011000284"/>
    <x v="2"/>
    <s v="C-3399-1603-4-0-3399061"/>
    <x v="9"/>
    <s v=" ADAPTAR EL MODELO INTEGRADO DE PLANEACIÓN Y GESTIÓN AL INSTITUTO "/>
  </r>
  <r>
    <x v="0"/>
    <n v="19927757"/>
    <m/>
    <n v="19927757"/>
    <m/>
    <n v="2018011000284"/>
    <x v="2"/>
    <s v="C-3399-1603-4-0-3399061"/>
    <x v="9"/>
    <s v=" ADAPTAR EL MODELO INTEGRADO DE PLANEACIÓN Y GESTIÓN AL INSTITUTO "/>
  </r>
  <r>
    <x v="0"/>
    <n v="39000000"/>
    <m/>
    <n v="39000000"/>
    <n v="3900000"/>
    <n v="2018011000284"/>
    <x v="2"/>
    <s v="C-3399-1603-4-0-3399061"/>
    <x v="9"/>
    <s v=" ADAPTAR EL MODELO INTEGRADO DE PLANEACIÓN Y GESTIÓN AL INSTITUTO "/>
  </r>
  <r>
    <x v="0"/>
    <n v="51581230"/>
    <m/>
    <n v="51581230"/>
    <n v="5158123"/>
    <n v="2018011000284"/>
    <x v="2"/>
    <s v="C-3399-1603-4-0-3399061"/>
    <x v="9"/>
    <s v=" ADAPTAR EL MODELO INTEGRADO DE PLANEACIÓN Y GESTIÓN AL INSTITUTO "/>
  </r>
  <r>
    <x v="0"/>
    <n v="0"/>
    <m/>
    <n v="0"/>
    <m/>
    <n v="2018011000290"/>
    <x v="0"/>
    <s v="C-3302-1603-2-0-3302070"/>
    <x v="1"/>
    <s v="REALIZAR ACTIVIDADES DE CONSOLIDACIÓN ACADÉMICA"/>
  </r>
  <r>
    <x v="0"/>
    <n v="0"/>
    <m/>
    <n v="0"/>
    <m/>
    <n v="2018011000284"/>
    <x v="2"/>
    <s v="C-3399-1603-4-0-3399061"/>
    <x v="9"/>
    <s v=" ADAPTAR EL MODELO INTEGRADO DE PLANEACIÓN Y GESTIÓN AL INSTITUTO "/>
  </r>
  <r>
    <x v="0"/>
    <n v="50252686"/>
    <m/>
    <n v="50252686"/>
    <n v="4568426"/>
    <n v="2018011000290"/>
    <x v="0"/>
    <s v="C-3302-1603-2-0-3302066"/>
    <x v="4"/>
    <s v="PROGRAMAR, DISEÑAR Y OFERTAR PROGRAMAS DE EDUCACIÓN INFORMAL"/>
  </r>
  <r>
    <x v="0"/>
    <n v="32000000"/>
    <m/>
    <n v="32000000"/>
    <n v="4000000"/>
    <n v="2018011000290"/>
    <x v="0"/>
    <s v="C-3302-1603-2-0-3302070"/>
    <x v="1"/>
    <s v="REALIZAR ACTIVIDADES DE CONSOLIDACIÓN ACADÉMICA"/>
  </r>
  <r>
    <x v="0"/>
    <n v="28506916"/>
    <m/>
    <n v="28506916"/>
    <n v="4000000"/>
    <n v="2018011000284"/>
    <x v="2"/>
    <s v="C-3399-1603-4-0-3399056"/>
    <x v="8"/>
    <s v=" DISEÑAR HERRAMIENTAS PARA ORIENTAR LA PLANEACIÓN INSTITUCIONAL "/>
  </r>
  <r>
    <x v="0"/>
    <n v="3493084"/>
    <m/>
    <n v="3493084"/>
    <m/>
    <n v="2018011000290"/>
    <x v="0"/>
    <s v="C-3302-1603-2-0-3302070"/>
    <x v="1"/>
    <s v="REALIZAR ACTIVIDADES DE CONSOLIDACIÓN ACADÉMICA"/>
  </r>
  <r>
    <x v="0"/>
    <n v="40000000"/>
    <m/>
    <n v="40000000"/>
    <n v="3636363"/>
    <n v="2018011000290"/>
    <x v="0"/>
    <s v="C-3302-1603-2-0-3302066"/>
    <x v="4"/>
    <s v="PROGRAMAR, DISEÑAR Y OFERTAR PROGRAMAS DE EDUCACIÓN INFORMAL"/>
  </r>
  <r>
    <x v="0"/>
    <n v="28000000"/>
    <m/>
    <n v="28000000"/>
    <m/>
    <n v="2018011000284"/>
    <x v="2"/>
    <s v="C-3399-1603-4-0-3399016"/>
    <x v="5"/>
    <s v=" REALIZAR MANTENIMIENTO A ELEMENTOS NO ESTRUCTURALES DE LAS SEDES "/>
  </r>
  <r>
    <x v="0"/>
    <n v="10000000"/>
    <m/>
    <n v="10000000"/>
    <m/>
    <n v="2018011000284"/>
    <x v="2"/>
    <s v="C-3399-1603-4-0-3399016"/>
    <x v="5"/>
    <s v=" REALIZAR MANTENIMIENTO A ELEMENTOS NO ESTRUCTURALES DE LAS SEDES "/>
  </r>
  <r>
    <x v="0"/>
    <n v="5000000"/>
    <m/>
    <n v="5000000"/>
    <m/>
    <n v="2018011000284"/>
    <x v="2"/>
    <s v="C-3399-1603-4-0-3399016"/>
    <x v="5"/>
    <s v=" REALIZAR MANTENIMIENTO A ELEMENTOS NO ESTRUCTURALES DE LAS SEDES "/>
  </r>
  <r>
    <x v="0"/>
    <n v="49719132"/>
    <m/>
    <n v="49719132"/>
    <m/>
    <n v="2018011000284"/>
    <x v="2"/>
    <s v="C-3399-1603-4-0-3399016"/>
    <x v="5"/>
    <s v=" REALIZAR MANTENIMIENTO A ELEMENTOS NO ESTRUCTURALES DE LAS SEDES "/>
  </r>
  <r>
    <x v="0"/>
    <n v="4000000"/>
    <m/>
    <n v="4000000"/>
    <m/>
    <n v="2018011000284"/>
    <x v="2"/>
    <s v="C-3399-1603-4-0-3399016"/>
    <x v="5"/>
    <s v=" REALIZAR MANTENIMIENTO A ELEMENTOS NO ESTRUCTURALES DE LAS SEDES "/>
  </r>
  <r>
    <x v="0"/>
    <n v="13000000"/>
    <m/>
    <n v="13000000"/>
    <m/>
    <n v="2018011000284"/>
    <x v="2"/>
    <s v="C-3399-1603-4-0-3399016"/>
    <x v="5"/>
    <s v=" REALIZAR MANTENIMIENTO A ELEMENTOS NO ESTRUCTURALES DE LAS SEDES "/>
  </r>
  <r>
    <x v="0"/>
    <n v="16000000"/>
    <m/>
    <n v="16000000"/>
    <m/>
    <n v="2018011000284"/>
    <x v="2"/>
    <s v="C-3399-1603-4-0-3399016"/>
    <x v="5"/>
    <s v=" REALIZAR MANTENIMIENTO A ELEMENTOS NO ESTRUCTURALES DE LAS SEDES "/>
  </r>
  <r>
    <x v="0"/>
    <n v="38856615"/>
    <m/>
    <n v="38856615"/>
    <n v="3885661"/>
    <n v="2018011000290"/>
    <x v="0"/>
    <s v="C-3302-1603-2-0-3302001"/>
    <x v="2"/>
    <s v="DISEÑAR, APROBAR Y EJECUTAR LOS PROYECTOS DE INVESTIGACIÓN"/>
  </r>
  <r>
    <x v="0"/>
    <n v="71069692"/>
    <m/>
    <n v="71069692"/>
    <m/>
    <n v="2018011000290"/>
    <x v="0"/>
    <s v="C-3302-1603-2-0-3302001"/>
    <x v="2"/>
    <s v="DISEÑAR, APROBAR Y EJECUTAR LOS PROYECTOS DE INVESTIGACIÓN"/>
  </r>
  <r>
    <x v="0"/>
    <n v="29484000"/>
    <m/>
    <n v="29484000"/>
    <m/>
    <n v="2018011000290"/>
    <x v="0"/>
    <s v="C-3302-1603-2-0-3302001"/>
    <x v="2"/>
    <s v="DISEÑAR, APROBAR Y EJECUTAR LOS PROYECTOS DE INVESTIGACIÓN"/>
  </r>
  <r>
    <x v="0"/>
    <n v="14000000"/>
    <m/>
    <n v="14000000"/>
    <m/>
    <n v="2018011000290"/>
    <x v="0"/>
    <s v="C-3302-1603-2-0-3302001"/>
    <x v="2"/>
    <s v="DISEÑAR, APROBAR Y EJECUTAR LOS PROYECTOS DE INVESTIGACIÓN"/>
  </r>
  <r>
    <x v="0"/>
    <n v="4800000"/>
    <m/>
    <n v="4800000"/>
    <m/>
    <n v="2018011000290"/>
    <x v="0"/>
    <s v="C-3302-1603-2-0-3302001"/>
    <x v="2"/>
    <s v="DISEÑAR, APROBAR Y EJECUTAR LOS PROYECTOS DE INVESTIGACIÓN"/>
  </r>
  <r>
    <x v="0"/>
    <n v="18720000"/>
    <m/>
    <n v="18720000"/>
    <n v="1872000"/>
    <n v="2018011000290"/>
    <x v="0"/>
    <s v="C-3302-1603-2-0-3302001"/>
    <x v="2"/>
    <s v="DISEÑAR, APROBAR Y EJECUTAR LOS PROYECTOS DE INVESTIGACIÓN"/>
  </r>
  <r>
    <x v="0"/>
    <n v="9360000"/>
    <m/>
    <n v="9360000"/>
    <m/>
    <n v="2018011000290"/>
    <x v="0"/>
    <s v="C-3302-1603-2-0-3302001"/>
    <x v="2"/>
    <s v="DISEÑAR, APROBAR Y EJECUTAR LOS PROYECTOS DE INVESTIGACIÓN"/>
  </r>
  <r>
    <x v="0"/>
    <n v="48404374"/>
    <m/>
    <n v="48404374"/>
    <n v="5510370"/>
    <n v="2018011000290"/>
    <x v="0"/>
    <s v="C-3302-1603-2-0-3302001"/>
    <x v="2"/>
    <s v="DISEÑAR, APROBAR Y EJECUTAR LOS PROYECTOS DE INVESTIGACIÓN"/>
  </r>
  <r>
    <x v="0"/>
    <n v="28922400"/>
    <m/>
    <n v="28922400"/>
    <n v="2892240"/>
    <n v="2018011000290"/>
    <x v="0"/>
    <s v="C-3302-1603-2-0-3302001"/>
    <x v="2"/>
    <s v="DISEÑAR, APROBAR Y EJECUTAR LOS PROYECTOS DE INVESTIGACIÓN"/>
  </r>
  <r>
    <x v="0"/>
    <n v="500000"/>
    <m/>
    <n v="500000"/>
    <m/>
    <n v="2018011000290"/>
    <x v="0"/>
    <s v="C-3302-1603-2-0-3302001"/>
    <x v="2"/>
    <s v="DISEÑAR, APROBAR Y EJECUTAR LOS PROYECTOS DE INVESTIGACIÓN"/>
  </r>
  <r>
    <x v="1"/>
    <n v="500000"/>
    <m/>
    <n v="500000"/>
    <m/>
    <n v="2018011000290"/>
    <x v="0"/>
    <s v="C-3302-1603-2-0-3302070"/>
    <x v="1"/>
    <s v="REALIZAR ACTIVIDADES DE CONSOLIDACIÓN ACADÉMICA"/>
  </r>
  <r>
    <x v="0"/>
    <n v="26120075"/>
    <m/>
    <n v="26120075"/>
    <m/>
    <n v="2018011000290"/>
    <x v="0"/>
    <s v="C-3302-1603-2-0-3302001"/>
    <x v="2"/>
    <s v="DISEÑAR, APROBAR Y EJECUTAR LOS PROYECTOS DE INVESTIGACIÓN"/>
  </r>
  <r>
    <x v="1"/>
    <n v="1200000"/>
    <m/>
    <n v="1200000"/>
    <m/>
    <n v="2018011000290"/>
    <x v="0"/>
    <s v="C-3302-1603-2-0-3302070"/>
    <x v="1"/>
    <s v="REALIZAR ACTIVIDADES DE CONSOLIDACIÓN ACADÉMICA"/>
  </r>
  <r>
    <x v="0"/>
    <n v="50373180"/>
    <m/>
    <n v="50373180"/>
    <n v="5037318"/>
    <n v="2018011000290"/>
    <x v="0"/>
    <s v="C-3302-1603-2-0-3302001"/>
    <x v="2"/>
    <s v="DISEÑAR, APROBAR Y EJECUTAR LOS PROYECTOS DE INVESTIGACIÓN"/>
  </r>
  <r>
    <x v="0"/>
    <n v="8000000"/>
    <m/>
    <n v="8000000"/>
    <m/>
    <n v="2018011000290"/>
    <x v="0"/>
    <s v="C-3302-1603-2-0-3302001"/>
    <x v="2"/>
    <s v="DISEÑAR, APROBAR Y EJECUTAR LOS PROYECTOS DE INVESTIGACIÓN"/>
  </r>
  <r>
    <x v="1"/>
    <n v="1000000"/>
    <m/>
    <n v="1000000"/>
    <m/>
    <n v="2018011000290"/>
    <x v="0"/>
    <s v="C-3302-1603-2-0-3302001"/>
    <x v="2"/>
    <s v="DISEÑAR, APROBAR Y EJECUTAR LOS PROYECTOS DE INVESTIGACIÓN"/>
  </r>
  <r>
    <x v="0"/>
    <n v="4000000"/>
    <m/>
    <n v="4000000"/>
    <m/>
    <n v="2018011000290"/>
    <x v="0"/>
    <s v="C-3302-1603-2-0-3302001"/>
    <x v="2"/>
    <s v="DISEÑAR, APROBAR Y EJECUTAR LOS PROYECTOS DE INVESTIGACIÓN"/>
  </r>
  <r>
    <x v="0"/>
    <n v="4000000"/>
    <m/>
    <n v="4000000"/>
    <m/>
    <n v="2018011000290"/>
    <x v="0"/>
    <s v="C-3302-1603-2-0-3302001"/>
    <x v="2"/>
    <s v="DISEÑAR, APROBAR Y EJECUTAR LOS PROYECTOS DE INVESTIGACIÓN"/>
  </r>
  <r>
    <x v="0"/>
    <n v="28080000"/>
    <m/>
    <n v="28080000"/>
    <m/>
    <n v="2018011000290"/>
    <x v="0"/>
    <s v="C-3302-1603-2-0-3302001"/>
    <x v="2"/>
    <s v="DISEÑAR, APROBAR Y EJECUTAR LOS PROYECTOS DE INVESTIGACIÓN"/>
  </r>
  <r>
    <x v="1"/>
    <n v="1000000"/>
    <m/>
    <n v="1000000"/>
    <m/>
    <n v="2018011000290"/>
    <x v="0"/>
    <s v="C-3302-1603-2-0-3302001"/>
    <x v="2"/>
    <s v="DISEÑAR, APROBAR Y EJECUTAR LOS PROYECTOS DE INVESTIGACIÓN"/>
  </r>
  <r>
    <x v="1"/>
    <n v="390000"/>
    <m/>
    <n v="390000"/>
    <m/>
    <n v="2018011000290"/>
    <x v="0"/>
    <s v="C-3302-1603-2-0-3302070"/>
    <x v="1"/>
    <s v="REALIZAR ACTIVIDADES DE CONSOLIDACIÓN ACADÉMICA"/>
  </r>
  <r>
    <x v="0"/>
    <n v="32923800"/>
    <n v="-2279600"/>
    <n v="30644200"/>
    <n v="3292380"/>
    <n v="2018011000290"/>
    <x v="0"/>
    <s v="C-3302-1603-2-0-3302001"/>
    <x v="2"/>
    <s v="DISEÑAR, APROBAR Y EJECUTAR LOS PROYECTOS DE INVESTIGACIÓN"/>
  </r>
  <r>
    <x v="0"/>
    <n v="18813600"/>
    <m/>
    <n v="18813600"/>
    <n v="1881360"/>
    <n v="2018011000290"/>
    <x v="0"/>
    <s v="C-3302-1603-2-0-3302001"/>
    <x v="2"/>
    <s v="DISEÑAR, APROBAR Y EJECUTAR LOS PROYECTOS DE INVESTIGACIÓN"/>
  </r>
  <r>
    <x v="0"/>
    <n v="28220400"/>
    <n v="2279600"/>
    <n v="30500000"/>
    <m/>
    <n v="2018011000290"/>
    <x v="0"/>
    <s v="C-3302-1603-2-0-3302001"/>
    <x v="2"/>
    <s v="DISEÑAR, APROBAR Y EJECUTAR LOS PROYECTOS DE INVESTIGACIÓN"/>
  </r>
  <r>
    <x v="0"/>
    <n v="28163302"/>
    <m/>
    <n v="28163302"/>
    <m/>
    <n v="2018011000290"/>
    <x v="0"/>
    <s v="C-3302-1603-2-0-3302001"/>
    <x v="2"/>
    <s v="DISEÑAR, APROBAR Y EJECUTAR LOS PROYECTOS DE INVESTIGACIÓN"/>
  </r>
  <r>
    <x v="0"/>
    <n v="18813600"/>
    <m/>
    <n v="18813600"/>
    <m/>
    <n v="2018011000290"/>
    <x v="0"/>
    <s v="C-3302-1603-2-0-3302001"/>
    <x v="2"/>
    <s v="DISEÑAR, APROBAR Y EJECUTAR LOS PROYECTOS DE INVESTIGACIÓN"/>
  </r>
  <r>
    <x v="0"/>
    <n v="32923800"/>
    <m/>
    <n v="32923800"/>
    <m/>
    <n v="2018011000290"/>
    <x v="0"/>
    <s v="C-3302-1603-2-0-3302001"/>
    <x v="2"/>
    <s v="DISEÑAR, APROBAR Y EJECUTAR LOS PROYECTOS DE INVESTIGACIÓN"/>
  </r>
  <r>
    <x v="0"/>
    <n v="19254649"/>
    <m/>
    <n v="19254649"/>
    <m/>
    <n v="2018011000290"/>
    <x v="0"/>
    <s v="C-3302-1603-2-0-3302001"/>
    <x v="2"/>
    <s v="DISEÑAR, APROBAR Y EJECUTAR LOS PROYECTOS DE INVESTIGACIÓN"/>
  </r>
  <r>
    <x v="0"/>
    <n v="19254649"/>
    <m/>
    <n v="19254649"/>
    <m/>
    <n v="2018011000290"/>
    <x v="0"/>
    <s v="C-3302-1603-2-0-3302001"/>
    <x v="2"/>
    <s v="DISEÑAR, APROBAR Y EJECUTAR LOS PROYECTOS DE INVESTIGACIÓN"/>
  </r>
  <r>
    <x v="0"/>
    <n v="15756390"/>
    <m/>
    <n v="15756390"/>
    <n v="1575639"/>
    <n v="2018011000290"/>
    <x v="0"/>
    <s v="C-3302-1603-2-0-3302001"/>
    <x v="2"/>
    <s v="DISEÑAR, APROBAR Y EJECUTAR LOS PROYECTOS DE INVESTIGACIÓN"/>
  </r>
  <r>
    <x v="0"/>
    <n v="28922400"/>
    <m/>
    <n v="28922400"/>
    <m/>
    <n v="2018011000290"/>
    <x v="0"/>
    <s v="C-3302-1603-2-0-3302001"/>
    <x v="2"/>
    <s v="DISEÑAR, APROBAR Y EJECUTAR LOS PROYECTOS DE INVESTIGACIÓN"/>
  </r>
  <r>
    <x v="1"/>
    <n v="3816000"/>
    <m/>
    <n v="3816000"/>
    <m/>
    <n v="2018011000290"/>
    <x v="0"/>
    <s v="C-3302-1603-2-0-3302070"/>
    <x v="1"/>
    <s v="REALIZAR ACTIVIDADES DE CONSOLIDACIÓN ACADÉMICA"/>
  </r>
  <r>
    <x v="0"/>
    <n v="1800000"/>
    <m/>
    <n v="1800000"/>
    <m/>
    <n v="2018011000290"/>
    <x v="0"/>
    <s v="C-3302-1603-2-0-3302001"/>
    <x v="2"/>
    <s v="DISEÑAR, APROBAR Y EJECUTAR LOS PROYECTOS DE INVESTIGACIÓN"/>
  </r>
  <r>
    <x v="1"/>
    <n v="960000"/>
    <m/>
    <n v="960000"/>
    <m/>
    <n v="2018011000290"/>
    <x v="0"/>
    <s v="C-3302-1603-2-0-3302070"/>
    <x v="1"/>
    <s v="REALIZAR ACTIVIDADES DE CONSOLIDACIÓN ACADÉMICA"/>
  </r>
  <r>
    <x v="0"/>
    <n v="12000000"/>
    <m/>
    <n v="12000000"/>
    <n v="1200000"/>
    <n v="2018011000290"/>
    <x v="0"/>
    <s v="C-3302-1603-2-0-3302001"/>
    <x v="2"/>
    <s v="DISEÑAR, APROBAR Y EJECUTAR LOS PROYECTOS DE INVESTIGACIÓN"/>
  </r>
  <r>
    <x v="0"/>
    <n v="12000000"/>
    <m/>
    <n v="12000000"/>
    <n v="1200000"/>
    <n v="2018011000290"/>
    <x v="0"/>
    <s v="C-3302-1603-2-0-3302001"/>
    <x v="2"/>
    <s v="DISEÑAR, APROBAR Y EJECUTAR LOS PROYECTOS DE INVESTIGACIÓN"/>
  </r>
  <r>
    <x v="0"/>
    <n v="32923800"/>
    <m/>
    <n v="32923800"/>
    <n v="3292380"/>
    <n v="2018011000290"/>
    <x v="0"/>
    <s v="C-3302-1603-2-0-3302001"/>
    <x v="2"/>
    <s v="DISEÑAR, APROBAR Y EJECUTAR LOS PROYECTOS DE INVESTIGACIÓN"/>
  </r>
  <r>
    <x v="0"/>
    <n v="23400000"/>
    <m/>
    <n v="23400000"/>
    <m/>
    <n v="2018011000290"/>
    <x v="0"/>
    <s v="C-3302-1603-2-0-3302001"/>
    <x v="2"/>
    <s v="DISEÑAR, APROBAR Y EJECUTAR LOS PROYECTOS DE INVESTIGACIÓN"/>
  </r>
  <r>
    <x v="0"/>
    <n v="16200000"/>
    <m/>
    <n v="16200000"/>
    <m/>
    <n v="2018011000290"/>
    <x v="0"/>
    <s v="C-3302-1603-2-0-3302070"/>
    <x v="1"/>
    <s v="REALIZAR ACTIVIDADES DE CONSOLIDACIÓN ACADÉMICA"/>
  </r>
  <r>
    <x v="0"/>
    <n v="25000000"/>
    <m/>
    <n v="25000000"/>
    <m/>
    <n v="2018011000290"/>
    <x v="0"/>
    <s v="C-3302-1603-2-0-3302070"/>
    <x v="1"/>
    <s v="REALIZAR ACTIVIDADES DE CONSOLIDACIÓN ACADÉMICA"/>
  </r>
  <r>
    <x v="1"/>
    <n v="20000000"/>
    <m/>
    <n v="20000000"/>
    <m/>
    <n v="2018011000290"/>
    <x v="0"/>
    <s v="C-3302-1603-2-0-3302070"/>
    <x v="1"/>
    <s v="REALIZAR ACTIVIDADES DE CONSOLIDACIÓN ACADÉMICA"/>
  </r>
  <r>
    <x v="0"/>
    <n v="25000000"/>
    <m/>
    <n v="25000000"/>
    <m/>
    <n v="2018011000284"/>
    <x v="2"/>
    <s v="C-3399-1603-4-0-3399016"/>
    <x v="5"/>
    <s v="REALIZAR MANTENIMIENTO A ELEMENTOS NO ESTRUCTURALES DE LAS SEDES "/>
  </r>
  <r>
    <x v="0"/>
    <n v="23700676"/>
    <m/>
    <n v="23700676"/>
    <m/>
    <n v="2018011000290"/>
    <x v="0"/>
    <s v="C-3302-1603-2-0-3302070"/>
    <x v="1"/>
    <s v="REALIZAR ACTIVIDADES DE CONSOLIDACIÓN ACADÉMICA"/>
  </r>
  <r>
    <x v="0"/>
    <n v="30000000"/>
    <m/>
    <n v="30000000"/>
    <m/>
    <n v="2018011000290"/>
    <x v="0"/>
    <s v="C-3302-1603-2-0-3302070"/>
    <x v="1"/>
    <s v="REALIZAR ACTIVIDADES DE CONSOLIDACIÓN ACADÉMICA"/>
  </r>
  <r>
    <x v="0"/>
    <n v="18000000"/>
    <m/>
    <n v="18000000"/>
    <m/>
    <n v="2018011000290"/>
    <x v="0"/>
    <s v="C-3302-1603-2-0-3302070"/>
    <x v="1"/>
    <s v="REALIZAR ACTIVIDADES DE CONSOLIDACIÓN ACADÉMICA"/>
  </r>
  <r>
    <x v="0"/>
    <n v="57148025"/>
    <n v="2851975"/>
    <n v="60000000"/>
    <m/>
    <n v="2018011000290"/>
    <x v="0"/>
    <s v="C-3302-1603-2-0-3302070"/>
    <x v="1"/>
    <s v="REALIZAR ACTIVIDADES DE CONSOLIDACIÓN ACADÉMICA"/>
  </r>
  <r>
    <x v="0"/>
    <n v="36740000"/>
    <m/>
    <n v="36740000"/>
    <n v="3340000"/>
    <n v="2018011000290"/>
    <x v="0"/>
    <s v="C-3302-1603-2-0-3302070"/>
    <x v="1"/>
    <s v="REALIZAR ACTIVIDADES DE CONSOLIDACIÓN ACADÉMICA"/>
  </r>
  <r>
    <x v="0"/>
    <n v="44945452"/>
    <m/>
    <n v="44945452"/>
    <n v="4280519"/>
    <n v="2018011000290"/>
    <x v="0"/>
    <s v="C-3302-1603-2-0-3302070"/>
    <x v="1"/>
    <s v="REALIZAR ACTIVIDADES DE CONSOLIDACIÓN ACADÉMICA"/>
  </r>
  <r>
    <x v="0"/>
    <n v="21630000"/>
    <m/>
    <n v="21630000"/>
    <n v="2060000"/>
    <n v="2018011000319"/>
    <x v="1"/>
    <s v="C-3301-1603-2-0-3301085"/>
    <x v="3"/>
    <s v="ADQUIRIR LAS HERRAMIENTAS TECNOLÓGICAS PARA GARANTIZAR EL FUNCIONAMIENTO DE LA BIBLIOTECA"/>
  </r>
  <r>
    <x v="0"/>
    <n v="20974545"/>
    <m/>
    <n v="20974545"/>
    <n v="1997575"/>
    <n v="2018011000319"/>
    <x v="1"/>
    <s v="C-3301-1603-2-0-3301085"/>
    <x v="3"/>
    <s v="ADQUIRIR LAS HERRAMIENTAS TECNOLÓGICAS PARA GARANTIZAR EL FUNCIONAMIENTO DE LA BIBLIOTECA"/>
  </r>
  <r>
    <x v="0"/>
    <n v="50127525"/>
    <m/>
    <n v="50127525"/>
    <n v="4774050"/>
    <n v="2018011000290"/>
    <x v="0"/>
    <s v="C-3302-1603-2-0-3302070"/>
    <x v="1"/>
    <s v="REALIZAR ACTIVIDADES DE CONSOLIDACIÓN ACADÉMICA"/>
  </r>
  <r>
    <x v="0"/>
    <n v="38319708"/>
    <m/>
    <n v="38319708"/>
    <n v="3649496"/>
    <n v="2018011000290"/>
    <x v="0"/>
    <s v="C-3302-1603-2-0-3302070"/>
    <x v="1"/>
    <s v="REALIZAR ACTIVIDADES DE CONSOLIDACIÓN ACADÉMICA"/>
  </r>
  <r>
    <x v="0"/>
    <n v="31515451"/>
    <m/>
    <n v="31515451"/>
    <m/>
    <n v="2018011000290"/>
    <x v="0"/>
    <s v="C-3302-1603-2-0-3302068"/>
    <x v="7"/>
    <s v="DISEÑAR, MONTAR, EDITAR, GRABAR Y PRODUCIR LA PROGRAMACIÓN"/>
  </r>
  <r>
    <x v="0"/>
    <n v="65074624"/>
    <m/>
    <n v="65074624"/>
    <m/>
    <n v="2018011000290"/>
    <x v="0"/>
    <s v="C-3302-1603-2-0-3302068"/>
    <x v="7"/>
    <s v="DISEÑAR, MONTAR, EDITAR, GRABAR Y PRODUCIR LA PROGRAMACIÓN"/>
  </r>
  <r>
    <x v="0"/>
    <n v="31747433"/>
    <m/>
    <n v="31747433"/>
    <m/>
    <n v="2018011000290"/>
    <x v="0"/>
    <s v="C-3302-1603-2-0-3302070"/>
    <x v="1"/>
    <s v="REALIZAR ACTIVIDADES DE CONSOLIDACIÓN ACADÉMICA"/>
  </r>
  <r>
    <x v="0"/>
    <n v="22601782"/>
    <m/>
    <n v="22601782"/>
    <m/>
    <n v="2018011000290"/>
    <x v="0"/>
    <s v="C-3302-1603-2-0-3302070"/>
    <x v="1"/>
    <s v="REALIZAR ACTIVIDADES DE CONSOLIDACIÓN ACADÉMICA"/>
  </r>
  <r>
    <x v="0"/>
    <n v="72560528"/>
    <n v="1241211"/>
    <n v="73801739"/>
    <n v="6709249"/>
    <n v="2018011000290"/>
    <x v="0"/>
    <s v="C-3302-1603-2-0-3302004"/>
    <x v="6"/>
    <s v="DISEÑAR, PREPARAR Y REALIZAR EXPOSICIONES EN SALAS MUSEALES"/>
  </r>
  <r>
    <x v="0"/>
    <n v="64252953"/>
    <n v="-1871455"/>
    <n v="62381498"/>
    <n v="5941095"/>
    <n v="2018011000290"/>
    <x v="0"/>
    <s v="C-3302-1603-2-0-3302004"/>
    <x v="6"/>
    <s v="DISEÑAR, PREPARAR Y REALIZAR EXPOSICIONES EN SALAS MUSEALES"/>
  </r>
  <r>
    <x v="0"/>
    <n v="64252953"/>
    <n v="-1871455"/>
    <n v="62381498"/>
    <n v="5941095"/>
    <n v="2018011000290"/>
    <x v="0"/>
    <s v="C-3302-1603-2-0-3302004"/>
    <x v="6"/>
    <s v="DISEÑAR, PREPARAR Y REALIZAR EXPOSICIONES EN SALAS MUSEALES"/>
  </r>
  <r>
    <x v="0"/>
    <n v="37550073"/>
    <m/>
    <n v="37550073"/>
    <n v="3472036"/>
    <n v="2018011000290"/>
    <x v="0"/>
    <s v="C-3302-1603-2-0-3302004"/>
    <x v="6"/>
    <s v="DISEÑAR, PREPARAR Y REALIZAR EXPOSICIONES EN SALAS MUSEALES"/>
  </r>
  <r>
    <x v="0"/>
    <n v="0"/>
    <n v="154042"/>
    <n v="154042"/>
    <n v="3472036"/>
    <n v="2018011000290"/>
    <x v="0"/>
    <s v="C-3302-1603-2-0-3302070"/>
    <x v="1"/>
    <s v="REALIZAR ACTIVIDADES DE CONSOLIDACIÓN ACADÉMICA"/>
  </r>
  <r>
    <x v="1"/>
    <n v="0"/>
    <n v="488285"/>
    <n v="488285"/>
    <n v="3472036"/>
    <n v="2018011000284"/>
    <x v="2"/>
    <s v="C-3399-1603-4-0-3399016"/>
    <x v="5"/>
    <s v=" REALIZAR MANTENIMIENTO A ELEMENTOS NO ESTRUCTURALES DE LAS SEDES "/>
  </r>
  <r>
    <x v="1"/>
    <n v="37550073"/>
    <n v="-488285"/>
    <n v="37061788"/>
    <n v="3509639"/>
    <n v="2018011000284"/>
    <x v="2"/>
    <s v="C-3399-1603-4-0-3399016"/>
    <x v="5"/>
    <s v=" REALIZAR MANTENIMIENTO A ELEMENTOS NO ESTRUCTURALES DE LAS SEDES "/>
  </r>
  <r>
    <x v="0"/>
    <n v="17314756"/>
    <n v="-504319"/>
    <n v="16810437"/>
    <n v="1600994"/>
    <n v="2018011000290"/>
    <x v="0"/>
    <s v="C-3302-1603-2-0-3302004"/>
    <x v="6"/>
    <s v="DISEÑAR, PREPARAR Y REALIZAR EXPOSICIONES EN SALAS MUSEALES"/>
  </r>
  <r>
    <x v="0"/>
    <n v="62008391"/>
    <m/>
    <n v="62008391"/>
    <n v="5905561"/>
    <n v="2018011000284"/>
    <x v="2"/>
    <s v="C-3399-1603-4-0-3399056"/>
    <x v="8"/>
    <s v=" DISEÑAR HERRAMIENTAS PARA ORIENTAR LA PLANEACIÓN INSTITUCIONAL "/>
  </r>
  <r>
    <x v="0"/>
    <n v="29772712"/>
    <m/>
    <n v="29772712"/>
    <n v="2835496"/>
    <n v="2018011000290"/>
    <x v="0"/>
    <s v="C-3302-1603-2-0-3302066"/>
    <x v="4"/>
    <s v="PROGRAMAR, DISEÑAR Y OFERTAR PROGRAMAS DE EDUCACIÓN INFORMAL"/>
  </r>
  <r>
    <x v="0"/>
    <n v="20254950"/>
    <m/>
    <n v="20254950"/>
    <n v="2132100"/>
    <n v="2018011000290"/>
    <x v="0"/>
    <s v="C-3302-1603-2-0-3302066"/>
    <x v="4"/>
    <s v="PROGRAMAR, DISEÑAR Y OFERTAR PROGRAMAS DE EDUCACIÓN INFORMAL"/>
  </r>
  <r>
    <x v="0"/>
    <n v="13632821"/>
    <m/>
    <n v="13632821"/>
    <m/>
    <n v="2018011000290"/>
    <x v="0"/>
    <s v="C-3302-1603-2-0-3302070"/>
    <x v="1"/>
    <s v="REALIZAR ACTIVIDADES DE CONSOLIDACIÓN ACADÉMICA"/>
  </r>
  <r>
    <x v="0"/>
    <n v="6699334"/>
    <m/>
    <n v="6699334"/>
    <m/>
    <n v="2018011000290"/>
    <x v="0"/>
    <s v="C-3302-1603-2-0-3302001"/>
    <x v="2"/>
    <s v="DISEÑAR, APROBAR Y EJECUTAR LOS PROYECTOS DE INVESTIGACIÓN"/>
  </r>
  <r>
    <x v="0"/>
    <n v="19000000"/>
    <m/>
    <n v="19000000"/>
    <m/>
    <n v="2018011000290"/>
    <x v="0"/>
    <s v="C-3302-1603-2-0-3302001"/>
    <x v="2"/>
    <s v="DISEÑAR, APROBAR Y EJECUTAR LOS PROYECTOS DE INVESTIGACIÓN"/>
  </r>
  <r>
    <x v="0"/>
    <n v="34247500"/>
    <m/>
    <n v="34247500"/>
    <n v="3605000"/>
    <n v="2018011000290"/>
    <x v="0"/>
    <s v="C-3302-1603-2-0-3302070"/>
    <x v="1"/>
    <s v="REALIZAR ACTIVIDADES DE CONSOLIDACIÓN ACADÉMICA"/>
  </r>
  <r>
    <x v="0"/>
    <n v="38500000"/>
    <m/>
    <n v="38500000"/>
    <n v="3500000"/>
    <n v="2018011000290"/>
    <x v="0"/>
    <s v="C-3302-1603-2-0-3302070"/>
    <x v="1"/>
    <s v="REALIZAR ACTIVIDADES DE CONSOLIDACIÓN ACADÉMICA"/>
  </r>
  <r>
    <x v="0"/>
    <n v="19104109"/>
    <m/>
    <n v="19104109"/>
    <n v="1819439"/>
    <n v="2018011000284"/>
    <x v="2"/>
    <s v="C-3399-1603-4-0-3399061"/>
    <x v="9"/>
    <s v=" ADAPTAR EL MODELO INTEGRADO DE PLANEACIÓN Y GESTIÓN AL INSTITUTO "/>
  </r>
  <r>
    <x v="0"/>
    <n v="9658311"/>
    <m/>
    <n v="9658311"/>
    <m/>
    <n v="2018011000290"/>
    <x v="0"/>
    <s v="C-3302-1603-2-0-3302067"/>
    <x v="0"/>
    <s v="EJECUTAR PROGRAMAS DE POSGRADO CON REGISTRO CALIFICADO VIGENTE"/>
  </r>
  <r>
    <x v="0"/>
    <n v="53888089"/>
    <m/>
    <n v="53888089"/>
    <n v="5198204"/>
    <n v="2018011000284"/>
    <x v="2"/>
    <s v="C-3399-1603-4-0-3399061"/>
    <x v="9"/>
    <s v=" ADAPTAR EL MODELO INTEGRADO DE PLANEACIÓN Y GESTIÓN AL INSTITUTO "/>
  </r>
  <r>
    <x v="0"/>
    <n v="8000000"/>
    <m/>
    <n v="8000000"/>
    <m/>
    <n v="2018011000290"/>
    <x v="0"/>
    <s v="C-3302-1603-2-0-3302070"/>
    <x v="1"/>
    <s v="REALIZAR ACTIVIDADES DE CONSOLIDACIÓN ACADÉMICA"/>
  </r>
  <r>
    <x v="1"/>
    <n v="3200000"/>
    <m/>
    <n v="3200000"/>
    <m/>
    <n v="2018011000290"/>
    <x v="0"/>
    <s v="C-3302-1603-2-0-3302070"/>
    <x v="1"/>
    <s v="REALIZAR ACTIVIDADES DE CONSOLIDACIÓN ACADÉMICA"/>
  </r>
  <r>
    <x v="0"/>
    <n v="606956"/>
    <m/>
    <n v="606956"/>
    <m/>
    <n v="2018011000290"/>
    <x v="0"/>
    <s v="C-3302-1603-2-0-3302070"/>
    <x v="1"/>
    <s v="REALIZAR ACTIVIDADES DE CONSOLIDACIÓN ACADÉMICA"/>
  </r>
  <r>
    <x v="1"/>
    <n v="193044"/>
    <m/>
    <n v="193044"/>
    <m/>
    <n v="2018011000290"/>
    <x v="0"/>
    <s v="C-3302-1603-2-0-3302070"/>
    <x v="1"/>
    <s v="REALIZAR ACTIVIDADES DE CONSOLIDACIÓN ACADÉMICA"/>
  </r>
  <r>
    <x v="0"/>
    <n v="1090963"/>
    <m/>
    <n v="1090963"/>
    <m/>
    <n v="2018011000290"/>
    <x v="0"/>
    <s v="C-3302-1603-2-0-3302070"/>
    <x v="1"/>
    <s v="REALIZAR ACTIVIDADES DE CONSOLIDACIÓN ACADÉMICA"/>
  </r>
  <r>
    <x v="1"/>
    <n v="2148"/>
    <m/>
    <n v="2148"/>
    <m/>
    <n v="2018011000290"/>
    <x v="0"/>
    <s v="C-3302-1603-2-0-3302001"/>
    <x v="2"/>
    <s v="DISEÑAR, APROBAR Y EJECUTAR LOS PROYECTOS DE INVESTIGACIÓN"/>
  </r>
  <r>
    <x v="1"/>
    <n v="106889"/>
    <m/>
    <n v="106889"/>
    <m/>
    <n v="2018011000290"/>
    <x v="0"/>
    <s v="C-3302-1603-2-0-3302070"/>
    <x v="1"/>
    <s v="REALIZAR ACTIVIDADES DE CONSOLIDACIÓN ACADÉMICA"/>
  </r>
  <r>
    <x v="1"/>
    <n v="700000"/>
    <m/>
    <n v="700000"/>
    <m/>
    <n v="2018011000290"/>
    <x v="0"/>
    <s v="C-3302-1603-2-0-3302070"/>
    <x v="1"/>
    <s v="REALIZAR ACTIVIDADES DE CONSOLIDACIÓN ACADÉMICA"/>
  </r>
  <r>
    <x v="1"/>
    <n v="800000"/>
    <m/>
    <n v="800000"/>
    <m/>
    <n v="2018011000290"/>
    <x v="0"/>
    <s v="C-3302-1603-2-0-3302070"/>
    <x v="1"/>
    <s v="REALIZAR ACTIVIDADES DE CONSOLIDACIÓN ACADÉMICA"/>
  </r>
  <r>
    <x v="1"/>
    <n v="300000"/>
    <m/>
    <n v="300000"/>
    <m/>
    <n v="2018011000290"/>
    <x v="0"/>
    <s v="C-3302-1603-2-0-3302070"/>
    <x v="1"/>
    <s v="REALIZAR ACTIVIDADES DE CONSOLIDACIÓN ACADÉMICA"/>
  </r>
  <r>
    <x v="1"/>
    <n v="200000"/>
    <m/>
    <n v="200000"/>
    <m/>
    <n v="2018011000290"/>
    <x v="0"/>
    <s v="C-3302-1603-2-0-3302001"/>
    <x v="2"/>
    <s v="DISEÑAR, APROBAR Y EJECUTAR LOS PROYECTOS DE INVESTIGACIÓN"/>
  </r>
  <r>
    <x v="1"/>
    <n v="800000"/>
    <m/>
    <n v="800000"/>
    <m/>
    <n v="2018011000290"/>
    <x v="0"/>
    <s v="C-3302-1603-2-0-3302070"/>
    <x v="1"/>
    <s v="REALIZAR ACTIVIDADES DE CONSOLIDACIÓN ACADÉMICA"/>
  </r>
  <r>
    <x v="1"/>
    <n v="15000000"/>
    <m/>
    <n v="15000000"/>
    <m/>
    <n v="2018011000290"/>
    <x v="0"/>
    <s v="C-3302-1603-2-0-3302070"/>
    <x v="1"/>
    <s v="REALIZAR ACTIVIDADES DE CONSOLIDACIÓN ACADÉMICA"/>
  </r>
  <r>
    <x v="1"/>
    <n v="193044"/>
    <m/>
    <n v="193044"/>
    <m/>
    <n v="2018011000290"/>
    <x v="0"/>
    <s v="C-3302-1603-2-0-3302068"/>
    <x v="7"/>
    <s v="DISEÑAR, MONTAR, EDITAR, GRABAR Y PRODUCIR LA PROGRAMACIÓN"/>
  </r>
  <r>
    <x v="1"/>
    <n v="106956"/>
    <m/>
    <n v="106956"/>
    <m/>
    <n v="2018011000290"/>
    <x v="0"/>
    <s v="C-3302-1603-2-0-3302070"/>
    <x v="1"/>
    <s v="REALIZAR ACTIVIDADES DE CONSOLIDACIÓN ACADÉMICA"/>
  </r>
  <r>
    <x v="1"/>
    <n v="5000000"/>
    <m/>
    <n v="5000000"/>
    <m/>
    <n v="2018011000290"/>
    <x v="0"/>
    <s v="C-3302-1603-2-0-3302070"/>
    <x v="1"/>
    <s v="REALIZAR ACTIVIDADES DE CONSOLIDACIÓN ACADÉMICA"/>
  </r>
  <r>
    <x v="1"/>
    <n v="700000"/>
    <m/>
    <n v="700000"/>
    <m/>
    <n v="2018011000290"/>
    <x v="0"/>
    <s v="C-3302-1603-2-0-3302070"/>
    <x v="1"/>
    <s v="REALIZAR ACTIVIDADES DE CONSOLIDACIÓN ACADÉMICA"/>
  </r>
  <r>
    <x v="1"/>
    <n v="800000"/>
    <m/>
    <n v="800000"/>
    <m/>
    <n v="2018011000290"/>
    <x v="0"/>
    <s v="C-3302-1603-2-0-3302070"/>
    <x v="1"/>
    <s v="REALIZAR ACTIVIDADES DE CONSOLIDACIÓN ACADÉMICA"/>
  </r>
  <r>
    <x v="1"/>
    <n v="3700000"/>
    <m/>
    <n v="3700000"/>
    <m/>
    <n v="2018011000290"/>
    <x v="0"/>
    <s v="C-3302-1603-2-0-3302070"/>
    <x v="1"/>
    <s v="REALIZAR ACTIVIDADES DE CONSOLIDACIÓN ACADÉMICA"/>
  </r>
  <r>
    <x v="1"/>
    <n v="3000000"/>
    <m/>
    <n v="3000000"/>
    <m/>
    <n v="2018011000290"/>
    <x v="0"/>
    <s v="C-3302-1603-2-0-3302070"/>
    <x v="1"/>
    <s v="REALIZAR ACTIVIDADES DE CONSOLIDACIÓN ACADÉMICA"/>
  </r>
  <r>
    <x v="0"/>
    <n v="584539"/>
    <m/>
    <n v="584539"/>
    <m/>
    <n v="2018011000290"/>
    <x v="0"/>
    <s v="C-3302-1603-2-0-3302001"/>
    <x v="2"/>
    <s v="DISEÑAR, APROBAR Y EJECUTAR LOS PROYECTOS DE INVESTIGACIÓN"/>
  </r>
  <r>
    <x v="1"/>
    <n v="1500000"/>
    <m/>
    <n v="1500000"/>
    <m/>
    <n v="2018011000290"/>
    <x v="0"/>
    <s v="C-3302-1603-2-0-3302070"/>
    <x v="1"/>
    <s v="REALIZAR ACTIVIDADES DE CONSOLIDACIÓN ACADÉMICA"/>
  </r>
  <r>
    <x v="1"/>
    <n v="22000000"/>
    <m/>
    <n v="22000000"/>
    <m/>
    <n v="2018011000290"/>
    <x v="0"/>
    <s v="C-3302-1603-2-0-3302070"/>
    <x v="1"/>
    <s v="REALIZAR ACTIVIDADES DE CONSOLIDACIÓN ACADÉMICA"/>
  </r>
  <r>
    <x v="1"/>
    <n v="4000000"/>
    <m/>
    <n v="4000000"/>
    <m/>
    <n v="2018011000290"/>
    <x v="0"/>
    <s v="C-3302-1603-2-0-3302070"/>
    <x v="1"/>
    <s v="REALIZAR ACTIVIDADES DE CONSOLIDACIÓN ACADÉM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956E2A-EFB2-4E50-A316-DDBA50ABDB9A}" name="TablaDinámica2" cacheId="3"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30" firstHeaderRow="1" firstDataRow="1" firstDataCol="1"/>
  <pivotFields count="10">
    <pivotField axis="axisRow" showAll="0">
      <items count="3">
        <item x="0"/>
        <item x="1"/>
        <item t="default"/>
      </items>
    </pivotField>
    <pivotField numFmtId="170" showAll="0"/>
    <pivotField showAll="0"/>
    <pivotField dataField="1" numFmtId="170" showAll="0"/>
    <pivotField showAll="0"/>
    <pivotField numFmtId="1" showAll="0"/>
    <pivotField axis="axisRow" showAll="0">
      <items count="4">
        <item x="0"/>
        <item x="2"/>
        <item x="1"/>
        <item t="default"/>
      </items>
    </pivotField>
    <pivotField showAll="0"/>
    <pivotField axis="axisRow" showAll="0">
      <items count="11">
        <item x="8"/>
        <item x="2"/>
        <item x="5"/>
        <item x="1"/>
        <item x="6"/>
        <item x="9"/>
        <item x="7"/>
        <item x="3"/>
        <item x="0"/>
        <item x="4"/>
        <item t="default"/>
      </items>
    </pivotField>
    <pivotField showAll="0"/>
  </pivotFields>
  <rowFields count="3">
    <field x="6"/>
    <field x="0"/>
    <field x="8"/>
  </rowFields>
  <rowItems count="27">
    <i>
      <x/>
    </i>
    <i r="1">
      <x/>
    </i>
    <i r="2">
      <x v="1"/>
    </i>
    <i r="2">
      <x v="3"/>
    </i>
    <i r="2">
      <x v="4"/>
    </i>
    <i r="2">
      <x v="6"/>
    </i>
    <i r="2">
      <x v="8"/>
    </i>
    <i r="2">
      <x v="9"/>
    </i>
    <i r="1">
      <x v="1"/>
    </i>
    <i r="2">
      <x v="1"/>
    </i>
    <i r="2">
      <x v="3"/>
    </i>
    <i r="2">
      <x v="4"/>
    </i>
    <i r="2">
      <x v="6"/>
    </i>
    <i r="2">
      <x v="8"/>
    </i>
    <i>
      <x v="1"/>
    </i>
    <i r="1">
      <x/>
    </i>
    <i r="2">
      <x/>
    </i>
    <i r="2">
      <x v="2"/>
    </i>
    <i r="2">
      <x v="5"/>
    </i>
    <i r="1">
      <x v="1"/>
    </i>
    <i r="2">
      <x v="2"/>
    </i>
    <i>
      <x v="2"/>
    </i>
    <i r="1">
      <x/>
    </i>
    <i r="2">
      <x v="7"/>
    </i>
    <i r="1">
      <x v="1"/>
    </i>
    <i r="2">
      <x v="7"/>
    </i>
    <i t="grand">
      <x/>
    </i>
  </rowItems>
  <colItems count="1">
    <i/>
  </colItems>
  <dataFields count="1">
    <dataField name="Suma de VALOR FINAL"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D54B0A0-1913-47B4-A9C4-913C2048DE79}" name="TablaDinámica1"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6:A96" firstHeaderRow="1"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numFmtId="170" showAll="0"/>
    <pivotField showAll="0"/>
    <pivotField numFmtId="170" showAll="0"/>
    <pivotField showAll="0"/>
    <pivotField showAll="0"/>
    <pivotField showAll="0"/>
    <pivotField showAll="0"/>
    <pivotField axis="axisRow" showAll="0">
      <items count="11">
        <item x="8"/>
        <item x="2"/>
        <item x="5"/>
        <item x="1"/>
        <item x="6"/>
        <item x="9"/>
        <item x="7"/>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1"/>
    <field x="19"/>
  </rowFields>
  <rowItems count="20">
    <i>
      <x/>
    </i>
    <i r="1">
      <x/>
    </i>
    <i r="1">
      <x v="1"/>
    </i>
    <i r="1">
      <x v="2"/>
    </i>
    <i r="1">
      <x v="3"/>
    </i>
    <i r="1">
      <x v="4"/>
    </i>
    <i r="1">
      <x v="5"/>
    </i>
    <i r="1">
      <x v="6"/>
    </i>
    <i r="1">
      <x v="7"/>
    </i>
    <i r="1">
      <x v="8"/>
    </i>
    <i r="1">
      <x v="9"/>
    </i>
    <i>
      <x v="1"/>
    </i>
    <i r="1">
      <x v="1"/>
    </i>
    <i r="1">
      <x v="2"/>
    </i>
    <i r="1">
      <x v="3"/>
    </i>
    <i r="1">
      <x v="4"/>
    </i>
    <i r="1">
      <x v="6"/>
    </i>
    <i r="1">
      <x v="7"/>
    </i>
    <i r="1">
      <x v="8"/>
    </i>
    <i t="grand">
      <x/>
    </i>
  </rowItems>
  <colItems count="1">
    <i/>
  </colItem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722CBB1-E6FD-074E-8191-21F38896519A}" name="TablaDinámica3"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16" firstHeaderRow="1" firstDataRow="1" firstDataCol="1"/>
  <pivotFields count="24">
    <pivotField showAll="0"/>
    <pivotField showAll="0"/>
    <pivotField axis="axisRow" showAll="0">
      <items count="15">
        <item x="10"/>
        <item sd="0" x="5"/>
        <item sd="0" x="3"/>
        <item x="7"/>
        <item sd="0" x="0"/>
        <item sd="0" x="2"/>
        <item sd="0" x="9"/>
        <item sd="0" x="6"/>
        <item sd="0" x="11"/>
        <item sd="0" x="1"/>
        <item m="1" x="13"/>
        <item sd="0" x="8"/>
        <item sd="0" x="4"/>
        <item m="1" x="12"/>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3">
    <i>
      <x/>
    </i>
    <i>
      <x v="1"/>
    </i>
    <i>
      <x v="2"/>
    </i>
    <i>
      <x v="3"/>
    </i>
    <i>
      <x v="4"/>
    </i>
    <i>
      <x v="5"/>
    </i>
    <i>
      <x v="6"/>
    </i>
    <i>
      <x v="7"/>
    </i>
    <i>
      <x v="8"/>
    </i>
    <i>
      <x v="9"/>
    </i>
    <i>
      <x v="11"/>
    </i>
    <i>
      <x v="12"/>
    </i>
    <i t="grand">
      <x/>
    </i>
  </rowItems>
  <colItems count="1">
    <i/>
  </colItems>
  <dataFields count="1">
    <dataField name="Suma de VALOR TOTAL ESTIMADO" fld="12"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DBBA305-7745-40F9-B1AC-A3131932B3A1}" name="TablaDinámica4"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3:A60" firstHeaderRow="1"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numFmtId="170" showAll="0"/>
    <pivotField showAll="0"/>
    <pivotField numFmtId="170" showAll="0"/>
    <pivotField showAll="0"/>
    <pivotField showAll="0"/>
    <pivotField axis="axisRow" showAll="0">
      <items count="7">
        <item m="1" x="3"/>
        <item m="1" x="5"/>
        <item m="1" x="4"/>
        <item x="0"/>
        <item x="1"/>
        <item x="2"/>
        <item t="default"/>
      </items>
    </pivotField>
    <pivotField showAll="0"/>
    <pivotField axis="axisRow" showAll="0">
      <items count="11">
        <item x="8"/>
        <item x="2"/>
        <item x="5"/>
        <item x="1"/>
        <item x="6"/>
        <item x="9"/>
        <item x="7"/>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17"/>
    <field x="11"/>
    <field x="19"/>
  </rowFields>
  <rowItems count="27">
    <i>
      <x v="3"/>
    </i>
    <i r="1">
      <x/>
    </i>
    <i r="2">
      <x v="1"/>
    </i>
    <i r="2">
      <x v="3"/>
    </i>
    <i r="2">
      <x v="4"/>
    </i>
    <i r="2">
      <x v="6"/>
    </i>
    <i r="2">
      <x v="8"/>
    </i>
    <i r="2">
      <x v="9"/>
    </i>
    <i r="1">
      <x v="1"/>
    </i>
    <i r="2">
      <x v="1"/>
    </i>
    <i r="2">
      <x v="3"/>
    </i>
    <i r="2">
      <x v="4"/>
    </i>
    <i r="2">
      <x v="6"/>
    </i>
    <i r="2">
      <x v="8"/>
    </i>
    <i>
      <x v="4"/>
    </i>
    <i r="1">
      <x/>
    </i>
    <i r="2">
      <x v="7"/>
    </i>
    <i r="1">
      <x v="1"/>
    </i>
    <i r="2">
      <x v="7"/>
    </i>
    <i>
      <x v="5"/>
    </i>
    <i r="1">
      <x/>
    </i>
    <i r="2">
      <x/>
    </i>
    <i r="2">
      <x v="2"/>
    </i>
    <i r="2">
      <x v="5"/>
    </i>
    <i r="1">
      <x v="1"/>
    </i>
    <i r="2">
      <x v="2"/>
    </i>
    <i t="grand">
      <x/>
    </i>
  </rowItems>
  <colItems count="1">
    <i/>
  </colItem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F8ADF73-93CE-C54D-A49F-C2823399EABB}" name="TablaDinámica3"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23" firstHeaderRow="1" firstDataRow="1" firstDataCol="1"/>
  <pivotFields count="23">
    <pivotField showAll="0"/>
    <pivotField showAll="0"/>
    <pivotField axis="axisRow" showAll="0">
      <items count="7">
        <item x="2"/>
        <item x="3"/>
        <item x="1"/>
        <item x="4"/>
        <item x="5"/>
        <item x="0"/>
        <item t="default"/>
      </items>
    </pivotField>
    <pivotField showAll="0"/>
    <pivotField showAll="0"/>
    <pivotField showAll="0"/>
    <pivotField showAll="0"/>
    <pivotField showAll="0"/>
    <pivotField showAll="0"/>
    <pivotField showAll="0"/>
    <pivotField showAll="0"/>
    <pivotField dataField="1" showAll="0"/>
    <pivotField showAll="0"/>
    <pivotField showAll="0"/>
    <pivotField numFmtId="165" showAll="0"/>
    <pivotField showAll="0"/>
    <pivotField showAll="0"/>
    <pivotField showAll="0"/>
    <pivotField showAll="0"/>
    <pivotField showAll="0"/>
    <pivotField showAll="0"/>
    <pivotField showAll="0"/>
    <pivotField axis="axisRow" showAll="0">
      <items count="7">
        <item x="5"/>
        <item x="0"/>
        <item x="1"/>
        <item x="2"/>
        <item x="3"/>
        <item x="4"/>
        <item t="default"/>
      </items>
    </pivotField>
  </pivotFields>
  <rowFields count="2">
    <field x="22"/>
    <field x="2"/>
  </rowFields>
  <rowItems count="20">
    <i>
      <x/>
    </i>
    <i r="1">
      <x/>
    </i>
    <i r="1">
      <x v="1"/>
    </i>
    <i r="1">
      <x v="2"/>
    </i>
    <i r="1">
      <x v="3"/>
    </i>
    <i r="1">
      <x v="4"/>
    </i>
    <i r="1">
      <x v="5"/>
    </i>
    <i>
      <x v="1"/>
    </i>
    <i r="1">
      <x v="5"/>
    </i>
    <i>
      <x v="2"/>
    </i>
    <i r="1">
      <x v="1"/>
    </i>
    <i r="1">
      <x v="5"/>
    </i>
    <i>
      <x v="3"/>
    </i>
    <i r="1">
      <x v="2"/>
    </i>
    <i>
      <x v="4"/>
    </i>
    <i r="1">
      <x/>
    </i>
    <i r="1">
      <x v="1"/>
    </i>
    <i>
      <x v="5"/>
    </i>
    <i r="1">
      <x/>
    </i>
    <i t="grand">
      <x/>
    </i>
  </rowItems>
  <colItems count="1">
    <i/>
  </colItems>
  <dataFields count="1">
    <dataField name="Suma de VALOR TOTAL ESTIMADO" fld="11" baseField="0" baseItem="0" numFmtId="165"/>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6959912-536D-2642-9DE8-E56291E8EE0C}"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7:D70" firstHeaderRow="1" firstDataRow="2" firstDataCol="1"/>
  <pivotFields count="24">
    <pivotField showAll="0"/>
    <pivotField showAll="0"/>
    <pivotField axis="axisRow" showAll="0">
      <items count="15">
        <item x="10"/>
        <item sd="0" x="5"/>
        <item sd="0" x="3"/>
        <item x="7"/>
        <item sd="0" x="0"/>
        <item sd="0" x="2"/>
        <item sd="0" x="9"/>
        <item sd="0" x="6"/>
        <item sd="0" x="11"/>
        <item sd="0" x="1"/>
        <item m="1" x="13"/>
        <item sd="0" x="8"/>
        <item sd="0" x="4"/>
        <item m="1" x="12"/>
        <item t="default"/>
      </items>
    </pivotField>
    <pivotField showAll="0"/>
    <pivotField showAll="0"/>
    <pivotField showAll="0"/>
    <pivotField showAll="0"/>
    <pivotField showAll="0"/>
    <pivotField showAll="0"/>
    <pivotField showAll="0"/>
    <pivotField showAll="0"/>
    <pivotField axis="axisCol" showAll="0">
      <items count="4">
        <item x="0"/>
        <item x="1"/>
        <item m="1" x="2"/>
        <item t="default"/>
      </items>
    </pivotField>
    <pivotField dataField="1" showAll="0"/>
    <pivotField showAll="0"/>
    <pivotField showAll="0"/>
    <pivotField axis="axisRow" showAll="0">
      <items count="5">
        <item x="0"/>
        <item x="2"/>
        <item x="1"/>
        <item m="1" x="3"/>
        <item t="default"/>
      </items>
    </pivotField>
    <pivotField showAll="0"/>
    <pivotField showAll="0"/>
    <pivotField showAll="0"/>
    <pivotField showAll="0"/>
    <pivotField showAll="0"/>
    <pivotField showAll="0"/>
    <pivotField showAll="0"/>
    <pivotField showAll="0"/>
  </pivotFields>
  <rowFields count="2">
    <field x="15"/>
    <field x="2"/>
  </rowFields>
  <rowItems count="22">
    <i>
      <x/>
    </i>
    <i r="1">
      <x v="1"/>
    </i>
    <i r="1">
      <x v="2"/>
    </i>
    <i r="1">
      <x v="3"/>
    </i>
    <i r="1">
      <x v="4"/>
    </i>
    <i r="1">
      <x v="5"/>
    </i>
    <i r="1">
      <x v="7"/>
    </i>
    <i r="1">
      <x v="8"/>
    </i>
    <i r="1">
      <x v="9"/>
    </i>
    <i r="1">
      <x v="11"/>
    </i>
    <i r="1">
      <x v="12"/>
    </i>
    <i>
      <x v="1"/>
    </i>
    <i r="1">
      <x/>
    </i>
    <i r="1">
      <x v="3"/>
    </i>
    <i r="1">
      <x v="4"/>
    </i>
    <i r="1">
      <x v="6"/>
    </i>
    <i r="1">
      <x v="7"/>
    </i>
    <i r="1">
      <x v="8"/>
    </i>
    <i r="1">
      <x v="11"/>
    </i>
    <i>
      <x v="2"/>
    </i>
    <i r="1">
      <x v="5"/>
    </i>
    <i t="grand">
      <x/>
    </i>
  </rowItems>
  <colFields count="1">
    <field x="11"/>
  </colFields>
  <colItems count="3">
    <i>
      <x/>
    </i>
    <i>
      <x v="1"/>
    </i>
    <i t="grand">
      <x/>
    </i>
  </colItems>
  <dataFields count="1">
    <dataField name="Suma de VALOR TOTAL ESTIMADO" fld="12"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 dT="2022-01-14T16:59:46.38" personId="{3F83C5EC-FC57-49D7-B5D7-F74B098A4EE1}" id="{7A8E6F81-A52C-44F6-A8A5-83E32AF7455B}">
    <text>Corresponde al valor aprobado en el Decreto 1793 de 2021</text>
  </threadedComment>
  <threadedComment ref="M46" dT="2021-12-21T15:26:29.44" personId="{C49F1AFE-703A-AD4E-818B-5E12D0D759FE}" id="{7038FC27-0182-DE44-B693-E39FC391F5D4}">
    <text>Esta adquisición sale por Nación y una parte de propios para corresponder a la distribución de los rubros</text>
  </threadedComment>
  <threadedComment ref="M62" dT="2021-12-21T19:47:02.97" personId="{C49F1AFE-703A-AD4E-818B-5E12D0D759FE}" id="{F15A75E6-24CD-234F-A527-713E4683BCCD}">
    <text>Se reduce en $9.960 para ajustarnos a la distribución de propios</text>
  </threadedComment>
  <threadedComment ref="M111" dT="2021-12-22T23:44:46.56" personId="{C49F1AFE-703A-AD4E-818B-5E12D0D759FE}" id="{C9C5DCF5-0A7E-F847-8925-05BA3652D31E}">
    <text>Adquisición sale por dos rubros</text>
  </threadedComment>
  <threadedComment ref="M123" dT="2021-12-22T18:06:22.93" personId="{C49F1AFE-703A-AD4E-818B-5E12D0D759FE}" id="{E8D1D546-D4DE-7047-8D4B-326C4D842D50}">
    <text>Adquisición se abre para que salga por dos rubros</text>
  </threadedComment>
  <threadedComment ref="M124" dT="2021-12-22T18:05:59.99" personId="{C49F1AFE-703A-AD4E-818B-5E12D0D759FE}" id="{5EC205CA-3738-8349-B60F-78878F7186D7}">
    <text>Adquisición se abre para que salga por dos rubros</text>
  </threadedComment>
  <threadedComment ref="M125" dT="2021-12-21T15:41:57.45" personId="{C49F1AFE-703A-AD4E-818B-5E12D0D759FE}" id="{6701CD25-AA83-604C-8917-83182860A359}">
    <text xml:space="preserve">S abre adquisición para que salga por dos rubros
</text>
  </threadedComment>
  <threadedComment ref="M133" dT="2021-12-22T18:06:22.93" personId="{C49F1AFE-703A-AD4E-818B-5E12D0D759FE}" id="{E8D1D546-D4DE-7046-8D4B-326C4D842D50}">
    <text>Adquisición se abre para que salga por dos rubros</text>
  </threadedComment>
  <threadedComment ref="M134" dT="2021-12-22T18:05:59.99" personId="{C49F1AFE-703A-AD4E-818B-5E12D0D759FE}" id="{5EC205CA-3738-8348-B60F-78878F7186D7}">
    <text>Adquisición se abre para que salga por dos rubros</text>
  </threadedComment>
  <threadedComment ref="M141" dT="2021-12-22T22:21:56.95" personId="{C49F1AFE-703A-AD4E-818B-5E12D0D759FE}" id="{57B593C6-7F8E-8448-B4B1-57267B0FDFF8}">
    <text>Necesidad se are en varios rubros</text>
  </threadedComment>
  <threadedComment ref="M224" dT="2021-12-21T23:46:58.96" personId="{C49F1AFE-703A-AD4E-818B-5E12D0D759FE}" id="{B31D77F7-2ED6-1F4E-A235-BA3B813C20DE}">
    <text>Se ajusta abriendo el rubro, una parte en propios y otra de nación</text>
  </threadedComment>
  <threadedComment ref="M235" dT="2021-12-21T23:35:25.46" personId="{C49F1AFE-703A-AD4E-818B-5E12D0D759FE}" id="{8636F280-86E5-A946-8C31-7B595C2A62AF}">
    <text xml:space="preserve">Valor de adquisición ajustado de acuerdo a la distribución de propios
</text>
  </threadedComment>
</ThreadedComments>
</file>

<file path=xl/threadedComments/threadedComment2.xml><?xml version="1.0" encoding="utf-8"?>
<ThreadedComments xmlns="http://schemas.microsoft.com/office/spreadsheetml/2018/threadedcomments" xmlns:x="http://schemas.openxmlformats.org/spreadsheetml/2006/main">
  <threadedComment ref="M59" dT="2021-12-21T15:26:29.44" personId="{C49F1AFE-703A-AD4E-818B-5E12D0D759FE}" id="{FF9CA965-A0FB-AC49-8129-3AC95D63210A}">
    <text>Esta adquisición sale por Nación y una parte de propios para corresponder a la distribución de los rubros</text>
  </threadedComment>
  <threadedComment ref="M103" dT="2021-12-21T23:35:25.46" personId="{C49F1AFE-703A-AD4E-818B-5E12D0D759FE}" id="{A07290F8-D5C2-3446-91AB-EE67AA08EA02}">
    <text xml:space="preserve">Valor de adquisición ajustado de acuerdo a la distribución de propios
</text>
  </threadedComment>
  <threadedComment ref="R127" dT="2021-12-22T18:05:36.67" personId="{C49F1AFE-703A-AD4E-818B-5E12D0D759FE}" id="{820FD83C-7101-804F-84A1-4D0AD433D14F}">
    <text xml:space="preserve">Se ajusta para que el valor paneado salga por dos rubros diferentes
</text>
  </threadedComment>
  <threadedComment ref="M130" dT="2021-12-21T19:47:02.97" personId="{C49F1AFE-703A-AD4E-818B-5E12D0D759FE}" id="{F9BA4327-F347-0F44-8A4B-A023B1F1FA1C}">
    <text>Se reduce en $9.960 para ajustarnos a la distribución de propios</text>
  </threadedComment>
  <threadedComment ref="M248" dT="2021-12-21T15:41:57.45" personId="{C49F1AFE-703A-AD4E-818B-5E12D0D759FE}" id="{968AABEF-8B80-504C-8E8E-569CE72ADFAE}">
    <text xml:space="preserve">S abre adquisición para que salga por dos rubros
</text>
  </threadedComment>
  <threadedComment ref="M257" dT="2021-12-22T18:06:22.93" personId="{C49F1AFE-703A-AD4E-818B-5E12D0D759FE}" id="{1E707208-42DB-DF40-83D4-7B4E3AC64D8B}">
    <text>Adquisición se abre para que salga por dos rubros</text>
  </threadedComment>
  <threadedComment ref="M258" dT="2021-12-22T18:05:59.99" personId="{C49F1AFE-703A-AD4E-818B-5E12D0D759FE}" id="{39E4F08A-5417-1A47-A5D6-7B93AD04CC62}">
    <text>Adquisición se abre para que salga por dos rubros</text>
  </threadedComment>
  <threadedComment ref="M328" dT="2021-12-21T23:46:58.96" personId="{C49F1AFE-703A-AD4E-818B-5E12D0D759FE}" id="{F0F331AA-0ADA-F247-A88A-5CEA3F52C2BC}">
    <text>Se ajusta abriendo el rubro, una parte en propios y otra de nación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13" Type="http://schemas.openxmlformats.org/officeDocument/2006/relationships/hyperlink" Target="mailto:juan.espinosa@caroycuervo.gov.co" TargetMode="External"/><Relationship Id="rId18" Type="http://schemas.openxmlformats.org/officeDocument/2006/relationships/hyperlink" Target="mailto:juan.espinosa@caroycuervo.gov.co" TargetMode="External"/><Relationship Id="rId26" Type="http://schemas.openxmlformats.org/officeDocument/2006/relationships/hyperlink" Target="mailto:juan.espinosa@caroycuervo.gov.co" TargetMode="External"/><Relationship Id="rId39" Type="http://schemas.openxmlformats.org/officeDocument/2006/relationships/hyperlink" Target="mailto:juan.espinosa@caroycuervo.gov.co" TargetMode="External"/><Relationship Id="rId21" Type="http://schemas.openxmlformats.org/officeDocument/2006/relationships/hyperlink" Target="mailto:juan.espinosa@caroycuervo.gov.co" TargetMode="External"/><Relationship Id="rId34" Type="http://schemas.openxmlformats.org/officeDocument/2006/relationships/hyperlink" Target="mailto:biblioteca@caroycuervo.gov.co" TargetMode="External"/><Relationship Id="rId42" Type="http://schemas.openxmlformats.org/officeDocument/2006/relationships/hyperlink" Target="mailto:heilin.guarnizo@caroycuervo.gov.co" TargetMode="External"/><Relationship Id="rId47" Type="http://schemas.openxmlformats.org/officeDocument/2006/relationships/hyperlink" Target="mailto:heilin.guarnizo@caroycuervo.gov.co" TargetMode="External"/><Relationship Id="rId50" Type="http://schemas.openxmlformats.org/officeDocument/2006/relationships/hyperlink" Target="mailto:heilin.guarnizo@caroycuervo.gov.co" TargetMode="External"/><Relationship Id="rId55" Type="http://schemas.openxmlformats.org/officeDocument/2006/relationships/hyperlink" Target="mailto:heilin.guarnizo@caroycuervo.gov.co" TargetMode="External"/><Relationship Id="rId7" Type="http://schemas.openxmlformats.org/officeDocument/2006/relationships/hyperlink" Target="mailto:ofelia.ros@caroycuervo.gov.co" TargetMode="External"/><Relationship Id="rId2" Type="http://schemas.openxmlformats.org/officeDocument/2006/relationships/hyperlink" Target="mailto:liliana.montoya@caroycuervo.gov.co" TargetMode="External"/><Relationship Id="rId16" Type="http://schemas.openxmlformats.org/officeDocument/2006/relationships/hyperlink" Target="mailto:juan.espinosa@caroycuervo.gov.co" TargetMode="External"/><Relationship Id="rId29" Type="http://schemas.openxmlformats.org/officeDocument/2006/relationships/hyperlink" Target="mailto:juan.espinosa@caroycuervo.gov.co" TargetMode="External"/><Relationship Id="rId11" Type="http://schemas.openxmlformats.org/officeDocument/2006/relationships/hyperlink" Target="mailto:juan.espinosa@caroycuervo.gov.co" TargetMode="External"/><Relationship Id="rId24" Type="http://schemas.openxmlformats.org/officeDocument/2006/relationships/hyperlink" Target="mailto:juan.espinosa@caroycuervo.gov.co" TargetMode="External"/><Relationship Id="rId32" Type="http://schemas.openxmlformats.org/officeDocument/2006/relationships/hyperlink" Target="mailto:cesa.buitrago@caroycuervo.gov.co" TargetMode="External"/><Relationship Id="rId37" Type="http://schemas.openxmlformats.org/officeDocument/2006/relationships/hyperlink" Target="mailto:juan.espinosa@caroycuervo.gov.co" TargetMode="External"/><Relationship Id="rId40" Type="http://schemas.openxmlformats.org/officeDocument/2006/relationships/hyperlink" Target="mailto:cesa.buitrago@caroycuervo.gov.co" TargetMode="External"/><Relationship Id="rId45" Type="http://schemas.openxmlformats.org/officeDocument/2006/relationships/hyperlink" Target="mailto:heilin.guarnizo@caroycuervo.gov.co" TargetMode="External"/><Relationship Id="rId53" Type="http://schemas.openxmlformats.org/officeDocument/2006/relationships/hyperlink" Target="mailto:juan.espinosa@caroycuervo.gov.co" TargetMode="External"/><Relationship Id="rId58" Type="http://schemas.openxmlformats.org/officeDocument/2006/relationships/comments" Target="../comments5.xml"/><Relationship Id="rId5" Type="http://schemas.openxmlformats.org/officeDocument/2006/relationships/hyperlink" Target="mailto:ofelia.ros@caroycuervo.gov.co" TargetMode="External"/><Relationship Id="rId19" Type="http://schemas.openxmlformats.org/officeDocument/2006/relationships/hyperlink" Target="mailto:juan.espinosa@caroycuervo.gov.co" TargetMode="External"/><Relationship Id="rId4" Type="http://schemas.openxmlformats.org/officeDocument/2006/relationships/hyperlink" Target="mailto:juan.espinosa@caroycuervo.gov.co" TargetMode="External"/><Relationship Id="rId9" Type="http://schemas.openxmlformats.org/officeDocument/2006/relationships/hyperlink" Target="mailto:juan.espinosa@caroycuervo.gov.co" TargetMode="External"/><Relationship Id="rId14" Type="http://schemas.openxmlformats.org/officeDocument/2006/relationships/hyperlink" Target="mailto:juan.espinosa@caroycuervo.gov.co" TargetMode="External"/><Relationship Id="rId22" Type="http://schemas.openxmlformats.org/officeDocument/2006/relationships/hyperlink" Target="mailto:juan.espinosa@caroycuervo.gov.co" TargetMode="External"/><Relationship Id="rId27" Type="http://schemas.openxmlformats.org/officeDocument/2006/relationships/hyperlink" Target="mailto:juan.espinosa@caroycuervo.gov.co" TargetMode="External"/><Relationship Id="rId30" Type="http://schemas.openxmlformats.org/officeDocument/2006/relationships/hyperlink" Target="mailto:juan.espinosa@caroycuervo.gov.co" TargetMode="External"/><Relationship Id="rId35" Type="http://schemas.openxmlformats.org/officeDocument/2006/relationships/hyperlink" Target="mailto:juan.espinosa@caroycuervo.gov.co" TargetMode="External"/><Relationship Id="rId43" Type="http://schemas.openxmlformats.org/officeDocument/2006/relationships/hyperlink" Target="mailto:heilin.guarnizo@caroycuervo.gov.co" TargetMode="External"/><Relationship Id="rId48" Type="http://schemas.openxmlformats.org/officeDocument/2006/relationships/hyperlink" Target="mailto:heilin.guarnizo@caroycuervo.gov.co" TargetMode="External"/><Relationship Id="rId56" Type="http://schemas.openxmlformats.org/officeDocument/2006/relationships/drawing" Target="../drawings/drawing7.xml"/><Relationship Id="rId8" Type="http://schemas.openxmlformats.org/officeDocument/2006/relationships/hyperlink" Target="mailto:ofelia.ros@caroycuervo.gov.co" TargetMode="External"/><Relationship Id="rId51" Type="http://schemas.openxmlformats.org/officeDocument/2006/relationships/hyperlink" Target="mailto:juan.espinosa@caroycuervo.gov.co" TargetMode="External"/><Relationship Id="rId3" Type="http://schemas.openxmlformats.org/officeDocument/2006/relationships/hyperlink" Target="mailto:juan.espinosa@caroycuervo.gov.co" TargetMode="External"/><Relationship Id="rId12" Type="http://schemas.openxmlformats.org/officeDocument/2006/relationships/hyperlink" Target="mailto:juan.espinosa@caroycuervo.gov.co" TargetMode="External"/><Relationship Id="rId17" Type="http://schemas.openxmlformats.org/officeDocument/2006/relationships/hyperlink" Target="mailto:juan.espinosa@caroycuervo.gov.co" TargetMode="External"/><Relationship Id="rId25" Type="http://schemas.openxmlformats.org/officeDocument/2006/relationships/hyperlink" Target="mailto:juan.espinosa@caroycuervo.gov.co" TargetMode="External"/><Relationship Id="rId33" Type="http://schemas.openxmlformats.org/officeDocument/2006/relationships/hyperlink" Target="mailto:cesa.buitrago@caroycuervo.gov.co" TargetMode="External"/><Relationship Id="rId38" Type="http://schemas.openxmlformats.org/officeDocument/2006/relationships/hyperlink" Target="mailto:juan.espinosa@caroycuervo.gov.co" TargetMode="External"/><Relationship Id="rId46" Type="http://schemas.openxmlformats.org/officeDocument/2006/relationships/hyperlink" Target="mailto:heilin.guarnizo@caroycuervo.gov.co" TargetMode="External"/><Relationship Id="rId59" Type="http://schemas.microsoft.com/office/2017/10/relationships/threadedComment" Target="../threadedComments/threadedComment2.xml"/><Relationship Id="rId20" Type="http://schemas.openxmlformats.org/officeDocument/2006/relationships/hyperlink" Target="mailto:juan.espinosa@caroycuervo.gov.co" TargetMode="External"/><Relationship Id="rId41" Type="http://schemas.openxmlformats.org/officeDocument/2006/relationships/hyperlink" Target="mailto:heilin.guarnizo@caroycuervo.gov.co" TargetMode="External"/><Relationship Id="rId54" Type="http://schemas.openxmlformats.org/officeDocument/2006/relationships/hyperlink" Target="mailto:heilin.guarnizo@caroycuervo.gov.co" TargetMode="External"/><Relationship Id="rId1" Type="http://schemas.openxmlformats.org/officeDocument/2006/relationships/hyperlink" Target="mailto:rosario.barros@caroycuervo.gov.co" TargetMode="External"/><Relationship Id="rId6" Type="http://schemas.openxmlformats.org/officeDocument/2006/relationships/hyperlink" Target="mailto:ofelia.ros@caroycuervo.gov.co" TargetMode="External"/><Relationship Id="rId15" Type="http://schemas.openxmlformats.org/officeDocument/2006/relationships/hyperlink" Target="mailto:juan.espinosa@caroycuervo.gov.co" TargetMode="External"/><Relationship Id="rId23" Type="http://schemas.openxmlformats.org/officeDocument/2006/relationships/hyperlink" Target="mailto:juan.espinosa@caroycuervo.gov.co" TargetMode="External"/><Relationship Id="rId28" Type="http://schemas.openxmlformats.org/officeDocument/2006/relationships/hyperlink" Target="mailto:juan.espinosa@caroycuervo.gov.co" TargetMode="External"/><Relationship Id="rId36" Type="http://schemas.openxmlformats.org/officeDocument/2006/relationships/hyperlink" Target="mailto:juan.espinosa@caroycuervo.gov.co" TargetMode="External"/><Relationship Id="rId49" Type="http://schemas.openxmlformats.org/officeDocument/2006/relationships/hyperlink" Target="mailto:heilin.guarnizo@caroycuervo.gov.co" TargetMode="External"/><Relationship Id="rId57" Type="http://schemas.openxmlformats.org/officeDocument/2006/relationships/vmlDrawing" Target="../drawings/vmlDrawing5.vml"/><Relationship Id="rId10" Type="http://schemas.openxmlformats.org/officeDocument/2006/relationships/hyperlink" Target="mailto:juan.espinosa@caroycuervo.gov.co" TargetMode="External"/><Relationship Id="rId31" Type="http://schemas.openxmlformats.org/officeDocument/2006/relationships/hyperlink" Target="mailto:cesa.buitrago@caroycuervo.gov.co" TargetMode="External"/><Relationship Id="rId44" Type="http://schemas.openxmlformats.org/officeDocument/2006/relationships/hyperlink" Target="mailto:heilin.guarnizo@caroycuervo.gov.co" TargetMode="External"/><Relationship Id="rId52" Type="http://schemas.openxmlformats.org/officeDocument/2006/relationships/hyperlink" Target="mailto:biblioteca@caroycuervo.gov.co"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colombiacompra.gov.co/clasificador-de-bienes-y-servicio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9/04/relationships/namedSheetView" Target="../namedSheetViews/namedSheetView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hyperlink" Target="mailto:auris.mendoza@caroycuervo.gov.co" TargetMode="External"/><Relationship Id="rId21" Type="http://schemas.openxmlformats.org/officeDocument/2006/relationships/hyperlink" Target="mailto:carmen.millan@caroycuervo.gov.co" TargetMode="External"/><Relationship Id="rId42" Type="http://schemas.openxmlformats.org/officeDocument/2006/relationships/hyperlink" Target="mailto:andres.coy@caroycuervo.gov.co" TargetMode="External"/><Relationship Id="rId47" Type="http://schemas.openxmlformats.org/officeDocument/2006/relationships/hyperlink" Target="mailto:rosario.barros@caroycuervo.gov.co/javier.vargas@caroycuervo.gov.co/auris.mendoza@caroycuervo.gov.co" TargetMode="External"/><Relationship Id="rId63" Type="http://schemas.openxmlformats.org/officeDocument/2006/relationships/hyperlink" Target="mailto:rosario.barros@caroycuervo.gov.co/javier.vargas@caroycuervo.gov.co/auris.mendoza@caroycuervo.gov.co" TargetMode="External"/><Relationship Id="rId68" Type="http://schemas.openxmlformats.org/officeDocument/2006/relationships/hyperlink" Target="mailto:claudia.vera@caroycuervo.gov.co" TargetMode="External"/><Relationship Id="rId84" Type="http://schemas.openxmlformats.org/officeDocument/2006/relationships/hyperlink" Target="mailto:liliana.montoya@caroycuervo.gov.co" TargetMode="External"/><Relationship Id="rId89" Type="http://schemas.openxmlformats.org/officeDocument/2006/relationships/hyperlink" Target="mailto:liliana.montoya@caroycuervo.gov.co" TargetMode="External"/><Relationship Id="rId16" Type="http://schemas.openxmlformats.org/officeDocument/2006/relationships/hyperlink" Target="mailto:andres.coy@caroycuervo.gov.co" TargetMode="External"/><Relationship Id="rId107" Type="http://schemas.openxmlformats.org/officeDocument/2006/relationships/comments" Target="../comments2.xml"/><Relationship Id="rId11" Type="http://schemas.openxmlformats.org/officeDocument/2006/relationships/hyperlink" Target="mailto:jenny.leon@caroycuervo.gov.co" TargetMode="External"/><Relationship Id="rId32" Type="http://schemas.openxmlformats.org/officeDocument/2006/relationships/hyperlink" Target="mailto:hector.cadavid@caroycuervo.gov.co" TargetMode="External"/><Relationship Id="rId37" Type="http://schemas.openxmlformats.org/officeDocument/2006/relationships/hyperlink" Target="mailto:leydi.pinzon@caroycuervo.gov.co" TargetMode="External"/><Relationship Id="rId53" Type="http://schemas.openxmlformats.org/officeDocument/2006/relationships/hyperlink" Target="mailto:andres.coy@caroycuervo.gov.co" TargetMode="External"/><Relationship Id="rId58" Type="http://schemas.openxmlformats.org/officeDocument/2006/relationships/hyperlink" Target="mailto:rosario.barros@caroycuervo.gov.co/javier.vargas@caroycuervo.gov.co/auris.mendoza@caroycuervo.gov.co" TargetMode="External"/><Relationship Id="rId74" Type="http://schemas.openxmlformats.org/officeDocument/2006/relationships/hyperlink" Target="mailto:claudia.vera@caroycuervo.gov.co" TargetMode="External"/><Relationship Id="rId79" Type="http://schemas.openxmlformats.org/officeDocument/2006/relationships/hyperlink" Target="mailto:liliana.montoya@caroycuervo.gov.co" TargetMode="External"/><Relationship Id="rId102" Type="http://schemas.openxmlformats.org/officeDocument/2006/relationships/hyperlink" Target="mailto:rosario.barros@caroycuervo.gov.co" TargetMode="External"/><Relationship Id="rId5" Type="http://schemas.openxmlformats.org/officeDocument/2006/relationships/hyperlink" Target="mailto:liliana.montoya@caroycuervo.gov.co" TargetMode="External"/><Relationship Id="rId90" Type="http://schemas.openxmlformats.org/officeDocument/2006/relationships/hyperlink" Target="mailto:liliana.montoya@caroycuervo.gov.co" TargetMode="External"/><Relationship Id="rId95" Type="http://schemas.openxmlformats.org/officeDocument/2006/relationships/hyperlink" Target="mailto:liliana.montoya@caroycuervo.gov.co" TargetMode="External"/><Relationship Id="rId22" Type="http://schemas.openxmlformats.org/officeDocument/2006/relationships/hyperlink" Target="mailto:claudia.vera@caroycuervo.gov.co" TargetMode="External"/><Relationship Id="rId27" Type="http://schemas.openxmlformats.org/officeDocument/2006/relationships/hyperlink" Target="mailto:liliana.montoya@caroycuervo.gov.co" TargetMode="External"/><Relationship Id="rId43" Type="http://schemas.openxmlformats.org/officeDocument/2006/relationships/hyperlink" Target="mailto:liliana.montoya@caroycuervo.gov.co" TargetMode="External"/><Relationship Id="rId48" Type="http://schemas.openxmlformats.org/officeDocument/2006/relationships/hyperlink" Target="mailto:liliana.montoya@caroycuervo.gov.co" TargetMode="External"/><Relationship Id="rId64" Type="http://schemas.openxmlformats.org/officeDocument/2006/relationships/hyperlink" Target="mailto:rosario.barros@caroycuervo.gov.co/javier.vargas@caroycuervo.gov.co/auris.mendoza@caroycuervo.gov.co" TargetMode="External"/><Relationship Id="rId69" Type="http://schemas.openxmlformats.org/officeDocument/2006/relationships/hyperlink" Target="mailto:claudia.vera@caroycuervo.gov.co" TargetMode="External"/><Relationship Id="rId80" Type="http://schemas.openxmlformats.org/officeDocument/2006/relationships/hyperlink" Target="mailto:liliana.montoya@caroycuervo.gov.co" TargetMode="External"/><Relationship Id="rId85" Type="http://schemas.openxmlformats.org/officeDocument/2006/relationships/hyperlink" Target="mailto:liliana.montoya@caroycuervo.gov.co" TargetMode="External"/><Relationship Id="rId12" Type="http://schemas.openxmlformats.org/officeDocument/2006/relationships/hyperlink" Target="mailto:jenny.leon@caroycuervo.gov.co" TargetMode="External"/><Relationship Id="rId17" Type="http://schemas.openxmlformats.org/officeDocument/2006/relationships/hyperlink" Target="mailto:andres.coy@caroycuervo.gov.co" TargetMode="External"/><Relationship Id="rId33" Type="http://schemas.openxmlformats.org/officeDocument/2006/relationships/hyperlink" Target="mailto:auris.mendoza@caroycuervo.gov.co" TargetMode="External"/><Relationship Id="rId38" Type="http://schemas.openxmlformats.org/officeDocument/2006/relationships/hyperlink" Target="mailto:leydi.pinzon@caroycuervo.gov.co" TargetMode="External"/><Relationship Id="rId59" Type="http://schemas.openxmlformats.org/officeDocument/2006/relationships/hyperlink" Target="mailto:rosario.barros@caroycuervo.gov.co/javier.vargas@caroycuervo.gov.co/auris.mendoza@caroycuervo.gov.co" TargetMode="External"/><Relationship Id="rId103" Type="http://schemas.openxmlformats.org/officeDocument/2006/relationships/hyperlink" Target="mailto:rosario.barros@caroycuervo.gov.co" TargetMode="External"/><Relationship Id="rId20" Type="http://schemas.openxmlformats.org/officeDocument/2006/relationships/hyperlink" Target="mailto:rosario.barros@caroycuervo.gov.co/javier.vargas@caroycuervo.gov.co/auris.mendoza@caroycuervo.gov.co" TargetMode="External"/><Relationship Id="rId41" Type="http://schemas.openxmlformats.org/officeDocument/2006/relationships/hyperlink" Target="mailto:auris.mendoza@caroycuervo.gov.co" TargetMode="External"/><Relationship Id="rId54" Type="http://schemas.openxmlformats.org/officeDocument/2006/relationships/hyperlink" Target="mailto:rosario.barros@caroycuervo.gov.co/javier.vargas@caroycuervo.gov.co/auris.mendoza@caroycuervo.gov.co" TargetMode="External"/><Relationship Id="rId62" Type="http://schemas.openxmlformats.org/officeDocument/2006/relationships/hyperlink" Target="mailto:rosario.barros@caroycuervo.gov.co/javier.vargas@caroycuervo.gov.co/auris.mendoza@caroycuervo.gov.co" TargetMode="External"/><Relationship Id="rId70" Type="http://schemas.openxmlformats.org/officeDocument/2006/relationships/hyperlink" Target="mailto:claudia.vera@caroycuervo.gov.co" TargetMode="External"/><Relationship Id="rId75" Type="http://schemas.openxmlformats.org/officeDocument/2006/relationships/hyperlink" Target="mailto:claudia.vera@caroycuervo.gov.co" TargetMode="External"/><Relationship Id="rId83" Type="http://schemas.openxmlformats.org/officeDocument/2006/relationships/hyperlink" Target="mailto:liliana.montoya@caroycuervo.gov.co" TargetMode="External"/><Relationship Id="rId88" Type="http://schemas.openxmlformats.org/officeDocument/2006/relationships/hyperlink" Target="mailto:liliana.montoya@caroycuervo.gov.co" TargetMode="External"/><Relationship Id="rId91" Type="http://schemas.openxmlformats.org/officeDocument/2006/relationships/hyperlink" Target="mailto:liliana.montoya@caroycuervo.gov.co" TargetMode="External"/><Relationship Id="rId96" Type="http://schemas.openxmlformats.org/officeDocument/2006/relationships/hyperlink" Target="mailto:liliana.montoya@caroycuervo.gov.co" TargetMode="External"/><Relationship Id="rId1" Type="http://schemas.openxmlformats.org/officeDocument/2006/relationships/hyperlink" Target="http://www.colombiacompra.gov.co/clasificador-de-bienes-y-servicios" TargetMode="External"/><Relationship Id="rId6" Type="http://schemas.openxmlformats.org/officeDocument/2006/relationships/hyperlink" Target="mailto:liliana.montoya@caroycuervo.gov.co" TargetMode="External"/><Relationship Id="rId15" Type="http://schemas.openxmlformats.org/officeDocument/2006/relationships/hyperlink" Target="mailto:andres.coy@caroycuervo.gov.co" TargetMode="External"/><Relationship Id="rId23" Type="http://schemas.openxmlformats.org/officeDocument/2006/relationships/hyperlink" Target="mailto:auris.mendoza@caroycuervo.gov.co" TargetMode="External"/><Relationship Id="rId28" Type="http://schemas.openxmlformats.org/officeDocument/2006/relationships/hyperlink" Target="mailto:auris.mendoza@caroycuervo.gov.co" TargetMode="External"/><Relationship Id="rId36" Type="http://schemas.openxmlformats.org/officeDocument/2006/relationships/hyperlink" Target="mailto:auris.mendoza@caroycuervo.gov.co" TargetMode="External"/><Relationship Id="rId49" Type="http://schemas.openxmlformats.org/officeDocument/2006/relationships/hyperlink" Target="mailto:liliana.montoya@caroycuervo.gov.co" TargetMode="External"/><Relationship Id="rId57" Type="http://schemas.openxmlformats.org/officeDocument/2006/relationships/hyperlink" Target="mailto:rosario.barros@caroycuervo.gov.co/javier.vargas@caroycuervo.gov.co/auris.mendoza@caroycuervo.gov.co" TargetMode="External"/><Relationship Id="rId106" Type="http://schemas.openxmlformats.org/officeDocument/2006/relationships/vmlDrawing" Target="../drawings/vmlDrawing2.vml"/><Relationship Id="rId10" Type="http://schemas.openxmlformats.org/officeDocument/2006/relationships/hyperlink" Target="mailto:liliana.montoya@caroycuervo.gov.co" TargetMode="External"/><Relationship Id="rId31" Type="http://schemas.openxmlformats.org/officeDocument/2006/relationships/hyperlink" Target="mailto:rosario.barros@caroycuervo.gov.co/javier.vargas@caroycuervo.gov.co/auris.mendoza@caroycuervo.gov.co" TargetMode="External"/><Relationship Id="rId44" Type="http://schemas.openxmlformats.org/officeDocument/2006/relationships/hyperlink" Target="mailto:liliana.montoya@caroycuervo.gov.co" TargetMode="External"/><Relationship Id="rId52" Type="http://schemas.openxmlformats.org/officeDocument/2006/relationships/hyperlink" Target="mailto:jenny.leon@caroycuervo.gov.co" TargetMode="External"/><Relationship Id="rId60" Type="http://schemas.openxmlformats.org/officeDocument/2006/relationships/hyperlink" Target="mailto:rosario.barros@caroycuervo.gov.co/javier.vargas@caroycuervo.gov.co/auris.mendoza@caroycuervo.gov.co" TargetMode="External"/><Relationship Id="rId65" Type="http://schemas.openxmlformats.org/officeDocument/2006/relationships/hyperlink" Target="mailto:rosario.barros@caroycuervo.gov.co/javier.vargas@caroycuervo.gov.co/auris.mendoza@caroycuervo.gov.co" TargetMode="External"/><Relationship Id="rId73" Type="http://schemas.openxmlformats.org/officeDocument/2006/relationships/hyperlink" Target="mailto:claudia.vera@caroycuervo.gov.co" TargetMode="External"/><Relationship Id="rId78" Type="http://schemas.openxmlformats.org/officeDocument/2006/relationships/hyperlink" Target="mailto:claudia.vera@caroycuervo.gov.co" TargetMode="External"/><Relationship Id="rId81" Type="http://schemas.openxmlformats.org/officeDocument/2006/relationships/hyperlink" Target="mailto:liliana.montoya@caroycuervo.gov.co" TargetMode="External"/><Relationship Id="rId86" Type="http://schemas.openxmlformats.org/officeDocument/2006/relationships/hyperlink" Target="mailto:liliana.montoya@caroycuervo.gov.co" TargetMode="External"/><Relationship Id="rId94" Type="http://schemas.openxmlformats.org/officeDocument/2006/relationships/hyperlink" Target="mailto:liliana.montoya@caroycuervo.gov.co" TargetMode="External"/><Relationship Id="rId99" Type="http://schemas.openxmlformats.org/officeDocument/2006/relationships/hyperlink" Target="mailto:liliana.montoya@caroycuervo.gov.co" TargetMode="External"/><Relationship Id="rId101" Type="http://schemas.openxmlformats.org/officeDocument/2006/relationships/hyperlink" Target="mailto:liliana.montoya@caroycuervo.gov.co" TargetMode="External"/><Relationship Id="rId4" Type="http://schemas.openxmlformats.org/officeDocument/2006/relationships/hyperlink" Target="mailto:hector.cadavid@caroycuervo.gov.co" TargetMode="External"/><Relationship Id="rId9" Type="http://schemas.openxmlformats.org/officeDocument/2006/relationships/hyperlink" Target="mailto:auris.mendoza@caroycuervo.gov.co" TargetMode="External"/><Relationship Id="rId13" Type="http://schemas.openxmlformats.org/officeDocument/2006/relationships/hyperlink" Target="mailto:jenny.leon@caroycuervo.gov.co" TargetMode="External"/><Relationship Id="rId18" Type="http://schemas.openxmlformats.org/officeDocument/2006/relationships/hyperlink" Target="mailto:andres.coy@caroycuervo.gov.co" TargetMode="External"/><Relationship Id="rId39" Type="http://schemas.openxmlformats.org/officeDocument/2006/relationships/hyperlink" Target="mailto:auris.mendoza@caroycuervo.gov.co" TargetMode="External"/><Relationship Id="rId34" Type="http://schemas.openxmlformats.org/officeDocument/2006/relationships/hyperlink" Target="mailto:rosario.barros@caroycuervo.gov.co/javier.vargas@caroycuervo.gov.co/auris.mendoza@caroycuervo.gov.co" TargetMode="External"/><Relationship Id="rId50" Type="http://schemas.openxmlformats.org/officeDocument/2006/relationships/hyperlink" Target="mailto:rosario.barros@caroycuervo.gov.co/javier.vargas@caroycuervo.gov.co/auris.mendoza@caroycuervo.gov.co" TargetMode="External"/><Relationship Id="rId55" Type="http://schemas.openxmlformats.org/officeDocument/2006/relationships/hyperlink" Target="mailto:rosario.barros@caroycuervo.gov.co/javier.vargas@caroycuervo.gov.co/auris.mendoza@caroycuervo.gov.co" TargetMode="External"/><Relationship Id="rId76" Type="http://schemas.openxmlformats.org/officeDocument/2006/relationships/hyperlink" Target="mailto:claudia.vera@caroycuervo.gov.co" TargetMode="External"/><Relationship Id="rId97" Type="http://schemas.openxmlformats.org/officeDocument/2006/relationships/hyperlink" Target="mailto:liliana.montoya@caroycuervo.gov.co" TargetMode="External"/><Relationship Id="rId104" Type="http://schemas.openxmlformats.org/officeDocument/2006/relationships/printerSettings" Target="../printerSettings/printerSettings2.bin"/><Relationship Id="rId7" Type="http://schemas.openxmlformats.org/officeDocument/2006/relationships/hyperlink" Target="mailto:liliana.montoya@caroycuervo.gov.co" TargetMode="External"/><Relationship Id="rId71" Type="http://schemas.openxmlformats.org/officeDocument/2006/relationships/hyperlink" Target="mailto:claudia.vera@caroycuervo.gov.co" TargetMode="External"/><Relationship Id="rId92" Type="http://schemas.openxmlformats.org/officeDocument/2006/relationships/hyperlink" Target="mailto:liliana.montoya@caroycuervo.gov.co" TargetMode="External"/><Relationship Id="rId2" Type="http://schemas.openxmlformats.org/officeDocument/2006/relationships/hyperlink" Target="mailto:leydi.pinzon@caroycuervo.gov.co" TargetMode="External"/><Relationship Id="rId29" Type="http://schemas.openxmlformats.org/officeDocument/2006/relationships/hyperlink" Target="mailto:rosario.barros@caroycuervo.gov.co/javier.vargas@caroycuervo.gov.co/auris.mendoza@caroycuervo.gov.co" TargetMode="External"/><Relationship Id="rId24" Type="http://schemas.openxmlformats.org/officeDocument/2006/relationships/hyperlink" Target="mailto:auris.mendoza@caroycuervo.gov.co" TargetMode="External"/><Relationship Id="rId40" Type="http://schemas.openxmlformats.org/officeDocument/2006/relationships/hyperlink" Target="mailto:liliana.montoya@caroycuervo.gov.co" TargetMode="External"/><Relationship Id="rId45" Type="http://schemas.openxmlformats.org/officeDocument/2006/relationships/hyperlink" Target="mailto:rosario.barros@caroycuervo.gov.co/javier.vargas@caroycuervo.gov.co/auris.mendoza@caroycuervo.gov.co" TargetMode="External"/><Relationship Id="rId66" Type="http://schemas.openxmlformats.org/officeDocument/2006/relationships/hyperlink" Target="mailto:rosario.barros@caroycuervo.gov.co/javier.vargas@caroycuervo.gov.co/auris.mendoza@caroycuervo.gov.co" TargetMode="External"/><Relationship Id="rId87" Type="http://schemas.openxmlformats.org/officeDocument/2006/relationships/hyperlink" Target="mailto:liliana.montoya@caroycuervo.gov.co" TargetMode="External"/><Relationship Id="rId61" Type="http://schemas.openxmlformats.org/officeDocument/2006/relationships/hyperlink" Target="mailto:rosario.barros@caroycuervo.gov.co/javier.vargas@caroycuervo.gov.co/auris.mendoza@caroycuervo.gov.co" TargetMode="External"/><Relationship Id="rId82" Type="http://schemas.openxmlformats.org/officeDocument/2006/relationships/hyperlink" Target="mailto:liliana.montoya@caroycuervo.gov.co" TargetMode="External"/><Relationship Id="rId19" Type="http://schemas.openxmlformats.org/officeDocument/2006/relationships/hyperlink" Target="mailto:rosario.barros@caroycuervo.gov.co/javier.vargas@caroycuervo.gov.co/auris.mendoza@caroycuervo.gov.co" TargetMode="External"/><Relationship Id="rId14" Type="http://schemas.openxmlformats.org/officeDocument/2006/relationships/hyperlink" Target="mailto:hector.cadavid@caroycuervo.gov.co" TargetMode="External"/><Relationship Id="rId30" Type="http://schemas.openxmlformats.org/officeDocument/2006/relationships/hyperlink" Target="mailto:rosario.barros@caroycuervo.gov.co/javier.vargas@caroycuervo.gov.co/auris.mendoza@caroycuervo.gov.co" TargetMode="External"/><Relationship Id="rId35" Type="http://schemas.openxmlformats.org/officeDocument/2006/relationships/hyperlink" Target="mailto:rosario.barros@caroycuervo.gov.co/javier.vargas@caroycuervo.gov.co/auris.mendoza@caroycuervo.gov.co" TargetMode="External"/><Relationship Id="rId56" Type="http://schemas.openxmlformats.org/officeDocument/2006/relationships/hyperlink" Target="mailto:rosario.barros@caroycuervo.gov.co/javier.vargas@caroycuervo.gov.co/auris.mendoza@caroycuervo.gov.co" TargetMode="External"/><Relationship Id="rId77" Type="http://schemas.openxmlformats.org/officeDocument/2006/relationships/hyperlink" Target="mailto:claudia.vera@caroycuervo.gov.co" TargetMode="External"/><Relationship Id="rId100" Type="http://schemas.openxmlformats.org/officeDocument/2006/relationships/hyperlink" Target="mailto:liliana.montoya@caroycuervo.gov.co" TargetMode="External"/><Relationship Id="rId105" Type="http://schemas.openxmlformats.org/officeDocument/2006/relationships/drawing" Target="../drawings/drawing2.xml"/><Relationship Id="rId8" Type="http://schemas.openxmlformats.org/officeDocument/2006/relationships/hyperlink" Target="mailto:liliana.montoya@caroycuervo.gov.co" TargetMode="External"/><Relationship Id="rId51" Type="http://schemas.openxmlformats.org/officeDocument/2006/relationships/hyperlink" Target="mailto:auris.mendoza@caroycuervo.gov.co" TargetMode="External"/><Relationship Id="rId72" Type="http://schemas.openxmlformats.org/officeDocument/2006/relationships/hyperlink" Target="mailto:claudia.vera@caroycuervo.gov.co" TargetMode="External"/><Relationship Id="rId93" Type="http://schemas.openxmlformats.org/officeDocument/2006/relationships/hyperlink" Target="mailto:liliana.montoya@caroycuervo.gov.co" TargetMode="External"/><Relationship Id="rId98" Type="http://schemas.openxmlformats.org/officeDocument/2006/relationships/hyperlink" Target="mailto:liliana.montoya@caroycuervo.gov.co" TargetMode="External"/><Relationship Id="rId3" Type="http://schemas.openxmlformats.org/officeDocument/2006/relationships/hyperlink" Target="mailto:leydi.pinzon@caroycuervo.gov.co" TargetMode="External"/><Relationship Id="rId25" Type="http://schemas.openxmlformats.org/officeDocument/2006/relationships/hyperlink" Target="mailto:auris.mendoza@caroycuervo.gov.co" TargetMode="External"/><Relationship Id="rId46" Type="http://schemas.openxmlformats.org/officeDocument/2006/relationships/hyperlink" Target="mailto:rosario.barros@caroycuervo.gov.co/javier.vargas@caroycuervo.gov.co/auris.mendoza@caroycuervo.gov.co" TargetMode="External"/><Relationship Id="rId67" Type="http://schemas.openxmlformats.org/officeDocument/2006/relationships/hyperlink" Target="mailto:claudia.vera@caroycuervo.gov.co" TargetMode="Externa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hyperlink" Target="http://www.colombiacompra.gov.co/clasificador-de-bienes-y-servicios"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10BB-0050-4206-A632-6502835761E9}">
  <dimension ref="A3:D30"/>
  <sheetViews>
    <sheetView zoomScale="80" zoomScaleNormal="80" workbookViewId="0">
      <selection activeCell="C31" sqref="C31"/>
    </sheetView>
  </sheetViews>
  <sheetFormatPr baseColWidth="10" defaultColWidth="11.42578125" defaultRowHeight="15" x14ac:dyDescent="0.25"/>
  <cols>
    <col min="1" max="1" width="175.28515625" bestFit="1" customWidth="1"/>
    <col min="2" max="2" width="21.42578125" style="724" bestFit="1" customWidth="1"/>
  </cols>
  <sheetData>
    <row r="3" spans="1:4" x14ac:dyDescent="0.25">
      <c r="A3" s="37" t="s">
        <v>0</v>
      </c>
      <c r="B3" s="724" t="s">
        <v>1</v>
      </c>
    </row>
    <row r="4" spans="1:4" x14ac:dyDescent="0.25">
      <c r="A4" s="38" t="s">
        <v>2</v>
      </c>
      <c r="B4" s="724">
        <v>4286030356</v>
      </c>
    </row>
    <row r="5" spans="1:4" x14ac:dyDescent="0.25">
      <c r="A5" s="537" t="s">
        <v>3</v>
      </c>
      <c r="B5" s="724">
        <v>4156044218</v>
      </c>
      <c r="D5">
        <v>1</v>
      </c>
    </row>
    <row r="6" spans="1:4" x14ac:dyDescent="0.25">
      <c r="A6" s="619" t="s">
        <v>4</v>
      </c>
      <c r="B6" s="724">
        <v>941118199</v>
      </c>
      <c r="C6" s="118"/>
    </row>
    <row r="7" spans="1:4" x14ac:dyDescent="0.25">
      <c r="A7" s="619" t="s">
        <v>5</v>
      </c>
      <c r="B7" s="724">
        <v>678535896</v>
      </c>
      <c r="C7" s="118"/>
      <c r="D7">
        <v>1</v>
      </c>
    </row>
    <row r="8" spans="1:4" x14ac:dyDescent="0.25">
      <c r="A8" s="619" t="s">
        <v>6</v>
      </c>
      <c r="B8" s="724">
        <v>288145467</v>
      </c>
      <c r="C8" s="118"/>
    </row>
    <row r="9" spans="1:4" x14ac:dyDescent="0.25">
      <c r="A9" s="619" t="s">
        <v>7</v>
      </c>
      <c r="B9" s="724">
        <v>107284963</v>
      </c>
      <c r="C9" s="118"/>
    </row>
    <row r="10" spans="1:4" x14ac:dyDescent="0.25">
      <c r="A10" s="619" t="s">
        <v>8</v>
      </c>
      <c r="B10" s="724">
        <v>1734161181</v>
      </c>
      <c r="C10" s="118"/>
    </row>
    <row r="11" spans="1:4" x14ac:dyDescent="0.25">
      <c r="A11" s="619" t="s">
        <v>9</v>
      </c>
      <c r="B11" s="724">
        <v>406798512</v>
      </c>
      <c r="C11" s="118"/>
    </row>
    <row r="12" spans="1:4" x14ac:dyDescent="0.25">
      <c r="A12" s="537" t="s">
        <v>10</v>
      </c>
      <c r="B12" s="724">
        <v>129986138</v>
      </c>
    </row>
    <row r="13" spans="1:4" x14ac:dyDescent="0.25">
      <c r="A13" s="619" t="s">
        <v>4</v>
      </c>
      <c r="B13" s="724">
        <v>2202148</v>
      </c>
      <c r="C13" s="118"/>
    </row>
    <row r="14" spans="1:4" x14ac:dyDescent="0.25">
      <c r="A14" s="619" t="s">
        <v>5</v>
      </c>
      <c r="B14" s="724">
        <v>122177641</v>
      </c>
      <c r="C14" s="118"/>
    </row>
    <row r="15" spans="1:4" x14ac:dyDescent="0.25">
      <c r="A15" s="619" t="s">
        <v>6</v>
      </c>
      <c r="B15" s="724">
        <v>1290040</v>
      </c>
      <c r="C15" s="118"/>
    </row>
    <row r="16" spans="1:4" x14ac:dyDescent="0.25">
      <c r="A16" s="619" t="s">
        <v>7</v>
      </c>
      <c r="B16" s="724">
        <v>193044</v>
      </c>
      <c r="C16" s="118"/>
    </row>
    <row r="17" spans="1:3" x14ac:dyDescent="0.25">
      <c r="A17" s="619" t="s">
        <v>8</v>
      </c>
      <c r="B17" s="724">
        <v>4123265</v>
      </c>
      <c r="C17" s="118"/>
    </row>
    <row r="18" spans="1:3" x14ac:dyDescent="0.25">
      <c r="A18" s="38" t="s">
        <v>11</v>
      </c>
      <c r="B18" s="724">
        <v>780468787</v>
      </c>
    </row>
    <row r="19" spans="1:3" x14ac:dyDescent="0.25">
      <c r="A19" s="537" t="s">
        <v>3</v>
      </c>
      <c r="B19" s="724">
        <v>716120738</v>
      </c>
    </row>
    <row r="20" spans="1:3" x14ac:dyDescent="0.25">
      <c r="A20" s="619" t="s">
        <v>12</v>
      </c>
      <c r="B20" s="724">
        <v>206584999</v>
      </c>
    </row>
    <row r="21" spans="1:3" x14ac:dyDescent="0.25">
      <c r="A21" s="619" t="s">
        <v>13</v>
      </c>
      <c r="B21" s="724">
        <v>182215023</v>
      </c>
    </row>
    <row r="22" spans="1:3" x14ac:dyDescent="0.25">
      <c r="A22" s="619" t="s">
        <v>14</v>
      </c>
      <c r="B22" s="724">
        <v>327320716</v>
      </c>
    </row>
    <row r="23" spans="1:3" x14ac:dyDescent="0.25">
      <c r="A23" s="537" t="s">
        <v>10</v>
      </c>
      <c r="B23" s="724">
        <v>64348049</v>
      </c>
    </row>
    <row r="24" spans="1:3" x14ac:dyDescent="0.25">
      <c r="A24" s="619" t="s">
        <v>13</v>
      </c>
      <c r="B24" s="724">
        <v>64348049</v>
      </c>
    </row>
    <row r="25" spans="1:3" x14ac:dyDescent="0.25">
      <c r="A25" s="38" t="s">
        <v>15</v>
      </c>
      <c r="B25" s="724">
        <v>185030029</v>
      </c>
    </row>
    <row r="26" spans="1:3" x14ac:dyDescent="0.25">
      <c r="A26" s="537" t="s">
        <v>3</v>
      </c>
      <c r="B26" s="724">
        <v>128664216</v>
      </c>
    </row>
    <row r="27" spans="1:3" x14ac:dyDescent="0.25">
      <c r="A27" s="619" t="s">
        <v>16</v>
      </c>
      <c r="B27" s="724">
        <v>128664216</v>
      </c>
    </row>
    <row r="28" spans="1:3" x14ac:dyDescent="0.25">
      <c r="A28" s="537" t="s">
        <v>10</v>
      </c>
      <c r="B28" s="724">
        <v>56365813</v>
      </c>
    </row>
    <row r="29" spans="1:3" x14ac:dyDescent="0.25">
      <c r="A29" s="619" t="s">
        <v>16</v>
      </c>
      <c r="B29" s="724">
        <v>56365813</v>
      </c>
    </row>
    <row r="30" spans="1:3" x14ac:dyDescent="0.25">
      <c r="A30" s="38" t="s">
        <v>17</v>
      </c>
      <c r="B30" s="724">
        <v>5251529172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29E9B-782F-5440-91BE-1791A2E8C23B}">
  <dimension ref="B1:S75"/>
  <sheetViews>
    <sheetView topLeftCell="B1" zoomScale="150" zoomScaleNormal="150" workbookViewId="0">
      <selection activeCell="B44" sqref="B44"/>
    </sheetView>
  </sheetViews>
  <sheetFormatPr baseColWidth="10" defaultColWidth="11.42578125" defaultRowHeight="12.75" zeroHeight="1" x14ac:dyDescent="0.25"/>
  <cols>
    <col min="1" max="1" width="11.42578125" style="336"/>
    <col min="2" max="2" width="32.140625" style="336" customWidth="1"/>
    <col min="3" max="3" width="15.42578125" style="336" customWidth="1"/>
    <col min="4" max="4" width="20.140625" style="336" customWidth="1"/>
    <col min="5" max="5" width="34.42578125" style="336" customWidth="1"/>
    <col min="6" max="7" width="13.42578125" style="336" customWidth="1"/>
    <col min="8" max="9" width="16.42578125" style="337" customWidth="1"/>
    <col min="10" max="10" width="16.42578125" style="337" hidden="1" customWidth="1"/>
    <col min="11" max="11" width="12" style="338" customWidth="1"/>
    <col min="12" max="12" width="9.42578125" style="336" customWidth="1"/>
    <col min="13" max="16" width="11.7109375" style="336" customWidth="1"/>
    <col min="17" max="17" width="27.7109375" style="336" customWidth="1"/>
    <col min="18" max="16384" width="11.42578125" style="336"/>
  </cols>
  <sheetData>
    <row r="1" spans="2:19" x14ac:dyDescent="0.25"/>
    <row r="2" spans="2:19" x14ac:dyDescent="0.25">
      <c r="B2" s="339" t="s">
        <v>833</v>
      </c>
      <c r="C2" s="340"/>
      <c r="D2" s="340"/>
      <c r="E2" s="340"/>
      <c r="F2" s="340"/>
      <c r="G2" s="340"/>
      <c r="H2" s="340"/>
      <c r="I2" s="340"/>
      <c r="J2" s="340"/>
      <c r="K2" s="340"/>
      <c r="L2" s="340"/>
      <c r="M2" s="340" t="s">
        <v>3</v>
      </c>
      <c r="N2" s="340" t="s">
        <v>3</v>
      </c>
      <c r="O2" s="340" t="s">
        <v>10</v>
      </c>
      <c r="P2" s="340" t="s">
        <v>10</v>
      </c>
      <c r="Q2" s="340"/>
    </row>
    <row r="3" spans="2:19" ht="46.5" customHeight="1" x14ac:dyDescent="0.25">
      <c r="B3" s="341" t="s">
        <v>834</v>
      </c>
      <c r="C3" s="341" t="s">
        <v>835</v>
      </c>
      <c r="D3" s="341"/>
      <c r="E3" s="341" t="s">
        <v>836</v>
      </c>
      <c r="F3" s="341"/>
      <c r="G3" s="341"/>
      <c r="H3" s="342" t="s">
        <v>3</v>
      </c>
      <c r="I3" s="342" t="s">
        <v>10</v>
      </c>
      <c r="J3" s="342" t="s">
        <v>10</v>
      </c>
      <c r="K3" s="342" t="s">
        <v>837</v>
      </c>
      <c r="L3" s="342" t="s">
        <v>838</v>
      </c>
      <c r="M3" s="343" t="s">
        <v>839</v>
      </c>
      <c r="N3" s="343" t="s">
        <v>840</v>
      </c>
      <c r="O3" s="343" t="s">
        <v>839</v>
      </c>
      <c r="P3" s="343" t="s">
        <v>840</v>
      </c>
      <c r="Q3" s="344" t="s">
        <v>841</v>
      </c>
    </row>
    <row r="4" spans="2:19" ht="38.25" x14ac:dyDescent="0.25">
      <c r="B4" s="345" t="s">
        <v>842</v>
      </c>
      <c r="C4" s="345"/>
      <c r="D4" s="345"/>
      <c r="E4" s="346" t="s">
        <v>843</v>
      </c>
      <c r="F4" s="346"/>
      <c r="G4" s="346"/>
      <c r="H4" s="347">
        <f>H8+H9+H11+H13+H15</f>
        <v>128664216</v>
      </c>
      <c r="I4" s="347">
        <f>I7+I9+I11+I13+I15</f>
        <v>56365813</v>
      </c>
      <c r="J4" s="347">
        <f>J9+J15</f>
        <v>57655852.154879995</v>
      </c>
      <c r="K4" s="348"/>
      <c r="L4" s="349">
        <f>H9+H15</f>
        <v>0</v>
      </c>
      <c r="M4" s="350">
        <f>H4*0.6</f>
        <v>77198529.599999994</v>
      </c>
      <c r="N4" s="350">
        <f>H4*0.4</f>
        <v>51465686.400000006</v>
      </c>
      <c r="O4" s="350">
        <f>I4*0.6</f>
        <v>33819487.799999997</v>
      </c>
      <c r="P4" s="350">
        <f>I4*0.4</f>
        <v>22546325.200000003</v>
      </c>
      <c r="Q4" s="351"/>
    </row>
    <row r="5" spans="2:19" x14ac:dyDescent="0.25">
      <c r="B5" s="345"/>
      <c r="C5" s="345"/>
      <c r="D5" s="345"/>
      <c r="E5" s="346"/>
      <c r="F5" s="346"/>
      <c r="G5" s="346"/>
      <c r="H5" s="347">
        <f>+H7+H11+H13</f>
        <v>128664216</v>
      </c>
      <c r="I5" s="347"/>
      <c r="J5" s="347"/>
      <c r="K5" s="352" t="s">
        <v>3</v>
      </c>
      <c r="L5" s="353"/>
      <c r="M5" s="354"/>
      <c r="N5" s="354"/>
      <c r="O5" s="354"/>
      <c r="P5" s="354"/>
      <c r="Q5" s="351"/>
    </row>
    <row r="6" spans="2:19" x14ac:dyDescent="0.25">
      <c r="B6" s="345"/>
      <c r="C6" s="345"/>
      <c r="D6" s="345"/>
      <c r="E6" s="346"/>
      <c r="F6" s="346"/>
      <c r="G6" s="346"/>
      <c r="H6" s="347">
        <f>+H9+H15</f>
        <v>0</v>
      </c>
      <c r="I6" s="347"/>
      <c r="J6" s="347"/>
      <c r="K6" s="352" t="s">
        <v>10</v>
      </c>
      <c r="L6" s="353"/>
      <c r="M6" s="354"/>
      <c r="N6" s="354"/>
      <c r="O6" s="354"/>
      <c r="P6" s="354"/>
      <c r="Q6" s="351"/>
    </row>
    <row r="7" spans="2:19" x14ac:dyDescent="0.25">
      <c r="B7" s="355" t="s">
        <v>844</v>
      </c>
      <c r="C7" s="730">
        <f>C8</f>
        <v>0</v>
      </c>
      <c r="D7" s="730" t="s">
        <v>845</v>
      </c>
      <c r="E7" s="356" t="s">
        <v>845</v>
      </c>
      <c r="F7" s="356"/>
      <c r="G7" s="356"/>
      <c r="H7" s="357">
        <f>H8</f>
        <v>0</v>
      </c>
      <c r="I7" s="357"/>
      <c r="J7" s="357"/>
      <c r="K7" s="358" t="s">
        <v>3</v>
      </c>
      <c r="L7" s="356">
        <v>11</v>
      </c>
      <c r="M7" s="359"/>
      <c r="N7" s="359"/>
      <c r="O7" s="359"/>
      <c r="P7" s="359"/>
      <c r="Q7" s="360"/>
    </row>
    <row r="8" spans="2:19" x14ac:dyDescent="0.25">
      <c r="B8" s="361" t="s">
        <v>846</v>
      </c>
      <c r="C8" s="736"/>
      <c r="D8" s="736"/>
      <c r="E8" s="362" t="s">
        <v>545</v>
      </c>
      <c r="F8" s="362"/>
      <c r="G8" s="362"/>
      <c r="H8" s="363">
        <f>139881011-139881011</f>
        <v>0</v>
      </c>
      <c r="I8" s="363"/>
      <c r="J8" s="363"/>
      <c r="K8" s="361" t="s">
        <v>3</v>
      </c>
      <c r="L8" s="362">
        <v>11</v>
      </c>
      <c r="M8" s="364"/>
      <c r="N8" s="364"/>
      <c r="O8" s="364"/>
      <c r="P8" s="364"/>
      <c r="Q8" s="360"/>
    </row>
    <row r="9" spans="2:19" x14ac:dyDescent="0.25">
      <c r="B9" s="355" t="s">
        <v>844</v>
      </c>
      <c r="C9" s="736"/>
      <c r="D9" s="736"/>
      <c r="E9" s="356" t="s">
        <v>845</v>
      </c>
      <c r="F9" s="356"/>
      <c r="G9" s="356"/>
      <c r="H9" s="365"/>
      <c r="I9" s="365">
        <f>I10</f>
        <v>0</v>
      </c>
      <c r="J9" s="366">
        <f>J10</f>
        <v>1290038.7527970623</v>
      </c>
      <c r="K9" s="358" t="s">
        <v>10</v>
      </c>
      <c r="L9" s="356">
        <v>21</v>
      </c>
      <c r="M9" s="359"/>
      <c r="N9" s="359"/>
      <c r="O9" s="359"/>
      <c r="P9" s="359"/>
      <c r="Q9" s="360"/>
      <c r="S9" s="367"/>
    </row>
    <row r="10" spans="2:19" x14ac:dyDescent="0.25">
      <c r="B10" s="361" t="s">
        <v>846</v>
      </c>
      <c r="C10" s="731"/>
      <c r="D10" s="731"/>
      <c r="E10" s="362" t="s">
        <v>545</v>
      </c>
      <c r="F10" s="362"/>
      <c r="G10" s="362"/>
      <c r="H10" s="363"/>
      <c r="I10" s="363">
        <f>1290038.75279706-1290038.75279706</f>
        <v>0</v>
      </c>
      <c r="J10" s="368">
        <f>2004783*0.6434804928</f>
        <v>1290038.7527970623</v>
      </c>
      <c r="K10" s="361" t="s">
        <v>10</v>
      </c>
      <c r="L10" s="362">
        <v>21</v>
      </c>
      <c r="M10" s="364"/>
      <c r="N10" s="364"/>
      <c r="O10" s="364"/>
      <c r="P10" s="364"/>
      <c r="Q10" s="360"/>
      <c r="S10" s="367"/>
    </row>
    <row r="11" spans="2:19" ht="25.5" x14ac:dyDescent="0.25">
      <c r="B11" s="358" t="s">
        <v>847</v>
      </c>
      <c r="C11" s="732">
        <v>725</v>
      </c>
      <c r="D11" s="732" t="s">
        <v>848</v>
      </c>
      <c r="E11" s="356" t="s">
        <v>16</v>
      </c>
      <c r="F11" s="356"/>
      <c r="G11" s="356"/>
      <c r="H11" s="538">
        <f>H12</f>
        <v>128664216</v>
      </c>
      <c r="I11" s="365">
        <f>I12</f>
        <v>56365813</v>
      </c>
      <c r="J11" s="366"/>
      <c r="K11" s="358" t="s">
        <v>3</v>
      </c>
      <c r="L11" s="356">
        <v>11</v>
      </c>
      <c r="M11" s="359"/>
      <c r="N11" s="359"/>
      <c r="O11" s="359"/>
      <c r="P11" s="359"/>
      <c r="Q11" s="360"/>
    </row>
    <row r="12" spans="2:19" ht="16.5" x14ac:dyDescent="0.25">
      <c r="B12" s="361" t="s">
        <v>849</v>
      </c>
      <c r="C12" s="733"/>
      <c r="D12" s="733"/>
      <c r="E12" s="362" t="s">
        <v>545</v>
      </c>
      <c r="F12" s="362"/>
      <c r="G12" s="362"/>
      <c r="H12" s="538">
        <f>37060216+91604000</f>
        <v>128664216</v>
      </c>
      <c r="I12" s="363">
        <v>56365813</v>
      </c>
      <c r="J12" s="369"/>
      <c r="K12" s="361" t="s">
        <v>3</v>
      </c>
      <c r="L12" s="362">
        <v>11</v>
      </c>
      <c r="M12" s="364"/>
      <c r="N12" s="364"/>
      <c r="O12" s="364"/>
      <c r="P12" s="364"/>
      <c r="Q12" s="360"/>
    </row>
    <row r="13" spans="2:19" ht="25.5" x14ac:dyDescent="0.25">
      <c r="B13" s="358" t="s">
        <v>850</v>
      </c>
      <c r="C13" s="732">
        <f>C14</f>
        <v>0</v>
      </c>
      <c r="D13" s="732" t="s">
        <v>851</v>
      </c>
      <c r="E13" s="356" t="s">
        <v>852</v>
      </c>
      <c r="F13" s="356"/>
      <c r="G13" s="356"/>
      <c r="H13" s="370">
        <f>H14</f>
        <v>0</v>
      </c>
      <c r="I13" s="370"/>
      <c r="J13" s="371"/>
      <c r="K13" s="358" t="s">
        <v>3</v>
      </c>
      <c r="L13" s="356">
        <v>11</v>
      </c>
      <c r="M13" s="359"/>
      <c r="N13" s="359"/>
      <c r="O13" s="359"/>
      <c r="P13" s="359"/>
      <c r="Q13" s="360"/>
    </row>
    <row r="14" spans="2:19" x14ac:dyDescent="0.25">
      <c r="B14" s="361" t="s">
        <v>853</v>
      </c>
      <c r="C14" s="739"/>
      <c r="D14" s="739"/>
      <c r="E14" s="362" t="s">
        <v>545</v>
      </c>
      <c r="F14" s="362"/>
      <c r="G14" s="362"/>
      <c r="H14" s="372">
        <f>91604000-91604000</f>
        <v>0</v>
      </c>
      <c r="I14" s="372"/>
      <c r="J14" s="373"/>
      <c r="K14" s="361" t="s">
        <v>3</v>
      </c>
      <c r="L14" s="362">
        <v>11</v>
      </c>
      <c r="M14" s="364"/>
      <c r="N14" s="364"/>
      <c r="O14" s="364"/>
      <c r="P14" s="364"/>
      <c r="Q14" s="360"/>
    </row>
    <row r="15" spans="2:19" ht="25.5" x14ac:dyDescent="0.25">
      <c r="B15" s="358" t="s">
        <v>850</v>
      </c>
      <c r="C15" s="739"/>
      <c r="D15" s="739"/>
      <c r="E15" s="356" t="s">
        <v>852</v>
      </c>
      <c r="F15" s="356"/>
      <c r="G15" s="356"/>
      <c r="H15" s="365"/>
      <c r="I15" s="365">
        <f>I16</f>
        <v>0</v>
      </c>
      <c r="J15" s="366">
        <f>J16</f>
        <v>56365813.402082935</v>
      </c>
      <c r="K15" s="358" t="s">
        <v>10</v>
      </c>
      <c r="L15" s="356">
        <v>21</v>
      </c>
      <c r="M15" s="359"/>
      <c r="N15" s="359"/>
      <c r="O15" s="359"/>
      <c r="P15" s="359"/>
      <c r="Q15" s="360"/>
    </row>
    <row r="16" spans="2:19" x14ac:dyDescent="0.25">
      <c r="B16" s="361" t="s">
        <v>853</v>
      </c>
      <c r="C16" s="733"/>
      <c r="D16" s="733"/>
      <c r="E16" s="362" t="s">
        <v>545</v>
      </c>
      <c r="F16" s="362"/>
      <c r="G16" s="362"/>
      <c r="H16" s="363"/>
      <c r="I16" s="363">
        <f>56365813.4020829-56365813.4020829</f>
        <v>0</v>
      </c>
      <c r="J16" s="368">
        <f>87595217*0.6434804928</f>
        <v>56365813.402082935</v>
      </c>
      <c r="K16" s="361" t="s">
        <v>10</v>
      </c>
      <c r="L16" s="362">
        <v>21</v>
      </c>
      <c r="M16" s="364"/>
      <c r="N16" s="364"/>
      <c r="O16" s="364"/>
      <c r="P16" s="364"/>
      <c r="Q16" s="360"/>
    </row>
    <row r="17" spans="2:17" ht="63.75" x14ac:dyDescent="0.25">
      <c r="B17" s="374" t="s">
        <v>854</v>
      </c>
      <c r="C17" s="374"/>
      <c r="D17" s="374"/>
      <c r="E17" s="375" t="s">
        <v>855</v>
      </c>
      <c r="F17" s="375"/>
      <c r="G17" s="375"/>
      <c r="H17" s="376">
        <f>H18+H22+H24+H26+H31+H35+H37+H20+H33+H29</f>
        <v>4156044219</v>
      </c>
      <c r="I17" s="376">
        <f>I18+I20+I22+I24+I26+I29+I31+I33+I35+I37</f>
        <v>129986138.14783999</v>
      </c>
      <c r="J17" s="377">
        <f>J20+J29+J33+J37</f>
        <v>128696098.56</v>
      </c>
      <c r="K17" s="378"/>
      <c r="L17" s="379"/>
      <c r="M17" s="350">
        <f>H17*0.6</f>
        <v>2493626531.4000001</v>
      </c>
      <c r="N17" s="350">
        <f>H17*0.4</f>
        <v>1662417687.6000001</v>
      </c>
      <c r="O17" s="380">
        <f>I17*0.6</f>
        <v>77991682.888703987</v>
      </c>
      <c r="P17" s="380">
        <f>N17*0.4</f>
        <v>664967075.04000008</v>
      </c>
      <c r="Q17" s="381"/>
    </row>
    <row r="18" spans="2:17" x14ac:dyDescent="0.25">
      <c r="B18" s="382" t="s">
        <v>856</v>
      </c>
      <c r="C18" s="730">
        <v>5</v>
      </c>
      <c r="D18" s="730" t="s">
        <v>857</v>
      </c>
      <c r="E18" s="383" t="s">
        <v>4</v>
      </c>
      <c r="F18" s="383"/>
      <c r="G18" s="383"/>
      <c r="H18" s="384">
        <f>H19</f>
        <v>887640309</v>
      </c>
      <c r="I18" s="384"/>
      <c r="J18" s="385"/>
      <c r="K18" s="358" t="s">
        <v>3</v>
      </c>
      <c r="L18" s="383">
        <v>11</v>
      </c>
      <c r="M18" s="386"/>
      <c r="N18" s="386"/>
      <c r="O18" s="386"/>
      <c r="P18" s="386"/>
      <c r="Q18" s="360"/>
    </row>
    <row r="19" spans="2:17" x14ac:dyDescent="0.25">
      <c r="B19" s="387" t="s">
        <v>858</v>
      </c>
      <c r="C19" s="736"/>
      <c r="D19" s="736"/>
      <c r="E19" s="388" t="s">
        <v>545</v>
      </c>
      <c r="F19" s="388"/>
      <c r="G19" s="388">
        <v>7805983</v>
      </c>
      <c r="H19" s="363">
        <f>799640309+88000000</f>
        <v>887640309</v>
      </c>
      <c r="I19" s="363"/>
      <c r="J19" s="369"/>
      <c r="K19" s="361" t="s">
        <v>3</v>
      </c>
      <c r="L19" s="388">
        <v>11</v>
      </c>
      <c r="M19" s="389"/>
      <c r="N19" s="389"/>
      <c r="O19" s="389"/>
      <c r="P19" s="389"/>
      <c r="Q19" s="360"/>
    </row>
    <row r="20" spans="2:17" x14ac:dyDescent="0.25">
      <c r="B20" s="382" t="s">
        <v>859</v>
      </c>
      <c r="C20" s="736"/>
      <c r="D20" s="736"/>
      <c r="E20" s="383" t="s">
        <v>4</v>
      </c>
      <c r="F20" s="383"/>
      <c r="G20" s="383"/>
      <c r="H20" s="384"/>
      <c r="I20" s="384">
        <f>I21</f>
        <v>2202148</v>
      </c>
      <c r="J20" s="366">
        <f>J21</f>
        <v>2202148.5425628289</v>
      </c>
      <c r="K20" s="358" t="s">
        <v>10</v>
      </c>
      <c r="L20" s="383">
        <v>21</v>
      </c>
      <c r="M20" s="386"/>
      <c r="N20" s="386"/>
      <c r="O20" s="386"/>
      <c r="P20" s="386"/>
      <c r="Q20" s="360"/>
    </row>
    <row r="21" spans="2:17" x14ac:dyDescent="0.25">
      <c r="B21" s="390" t="s">
        <v>860</v>
      </c>
      <c r="C21" s="731"/>
      <c r="D21" s="731"/>
      <c r="E21" s="388" t="s">
        <v>545</v>
      </c>
      <c r="F21" s="388"/>
      <c r="G21" s="388"/>
      <c r="H21" s="363"/>
      <c r="I21" s="363">
        <v>2202148</v>
      </c>
      <c r="J21" s="368">
        <f>3422246*0.6434804928</f>
        <v>2202148.5425628289</v>
      </c>
      <c r="K21" s="361" t="s">
        <v>10</v>
      </c>
      <c r="L21" s="388">
        <v>21</v>
      </c>
      <c r="M21" s="389"/>
      <c r="N21" s="389"/>
      <c r="O21" s="389"/>
      <c r="P21" s="389"/>
      <c r="Q21" s="360"/>
    </row>
    <row r="22" spans="2:17" ht="16.5" x14ac:dyDescent="0.25">
      <c r="B22" s="382" t="s">
        <v>861</v>
      </c>
      <c r="C22" s="730">
        <v>2</v>
      </c>
      <c r="D22" s="737" t="s">
        <v>862</v>
      </c>
      <c r="E22" s="383" t="s">
        <v>6</v>
      </c>
      <c r="F22" s="383"/>
      <c r="G22" s="383"/>
      <c r="H22" s="538">
        <f>H23</f>
        <v>268145466</v>
      </c>
      <c r="I22" s="384">
        <f>I23</f>
        <v>1290040</v>
      </c>
      <c r="J22" s="385"/>
      <c r="K22" s="358" t="s">
        <v>3</v>
      </c>
      <c r="L22" s="383">
        <v>11</v>
      </c>
      <c r="M22" s="386"/>
      <c r="N22" s="386"/>
      <c r="O22" s="386"/>
      <c r="P22" s="386"/>
      <c r="Q22" s="360"/>
    </row>
    <row r="23" spans="2:17" ht="16.5" x14ac:dyDescent="0.25">
      <c r="B23" s="387" t="s">
        <v>863</v>
      </c>
      <c r="C23" s="731"/>
      <c r="D23" s="738"/>
      <c r="E23" s="388" t="s">
        <v>545</v>
      </c>
      <c r="F23" s="388"/>
      <c r="G23" s="388"/>
      <c r="H23" s="546">
        <f>128264455+139881011</f>
        <v>268145466</v>
      </c>
      <c r="I23" s="363">
        <v>1290040</v>
      </c>
      <c r="J23" s="369"/>
      <c r="K23" s="361" t="s">
        <v>3</v>
      </c>
      <c r="L23" s="388">
        <v>11</v>
      </c>
      <c r="M23" s="389"/>
      <c r="N23" s="389"/>
      <c r="O23" s="389"/>
      <c r="P23" s="389"/>
      <c r="Q23" s="360"/>
    </row>
    <row r="24" spans="2:17" ht="51" x14ac:dyDescent="0.25">
      <c r="B24" s="382" t="s">
        <v>864</v>
      </c>
      <c r="C24" s="730">
        <v>1990</v>
      </c>
      <c r="D24" s="730" t="s">
        <v>865</v>
      </c>
      <c r="E24" s="383" t="s">
        <v>9</v>
      </c>
      <c r="F24" s="383"/>
      <c r="G24" s="383"/>
      <c r="H24" s="384">
        <f>H25</f>
        <v>339558096</v>
      </c>
      <c r="I24" s="384"/>
      <c r="J24" s="385"/>
      <c r="K24" s="358" t="s">
        <v>3</v>
      </c>
      <c r="L24" s="383">
        <v>11</v>
      </c>
      <c r="M24" s="386"/>
      <c r="N24" s="386"/>
      <c r="O24" s="386"/>
      <c r="P24" s="386"/>
      <c r="Q24" s="360"/>
    </row>
    <row r="25" spans="2:17" x14ac:dyDescent="0.25">
      <c r="B25" s="387" t="s">
        <v>866</v>
      </c>
      <c r="C25" s="731"/>
      <c r="D25" s="731"/>
      <c r="E25" s="388" t="s">
        <v>545</v>
      </c>
      <c r="F25" s="388"/>
      <c r="G25" s="388">
        <v>90713351</v>
      </c>
      <c r="H25" s="363">
        <v>339558096</v>
      </c>
      <c r="I25" s="363"/>
      <c r="J25" s="369"/>
      <c r="K25" s="361" t="s">
        <v>3</v>
      </c>
      <c r="L25" s="388">
        <v>11</v>
      </c>
      <c r="M25" s="389"/>
      <c r="N25" s="389"/>
      <c r="O25" s="389"/>
      <c r="P25" s="389"/>
      <c r="Q25" s="360"/>
    </row>
    <row r="26" spans="2:17" ht="25.5" x14ac:dyDescent="0.25">
      <c r="B26" s="382" t="s">
        <v>867</v>
      </c>
      <c r="C26" s="730">
        <v>75</v>
      </c>
      <c r="D26" s="730" t="s">
        <v>868</v>
      </c>
      <c r="E26" s="383" t="s">
        <v>8</v>
      </c>
      <c r="F26" s="383"/>
      <c r="G26" s="383">
        <v>55491389</v>
      </c>
      <c r="H26" s="384">
        <f>H27+H28</f>
        <v>1846131338</v>
      </c>
      <c r="I26" s="384"/>
      <c r="J26" s="385"/>
      <c r="K26" s="358" t="s">
        <v>3</v>
      </c>
      <c r="L26" s="383">
        <v>11</v>
      </c>
      <c r="M26" s="386"/>
      <c r="N26" s="386"/>
      <c r="O26" s="386"/>
      <c r="P26" s="386"/>
      <c r="Q26" s="360"/>
    </row>
    <row r="27" spans="2:17" x14ac:dyDescent="0.25">
      <c r="B27" s="387" t="s">
        <v>869</v>
      </c>
      <c r="C27" s="736"/>
      <c r="D27" s="736"/>
      <c r="E27" s="388" t="s">
        <v>545</v>
      </c>
      <c r="F27" s="388"/>
      <c r="G27" s="388"/>
      <c r="H27" s="372">
        <f>1934131338-88000000</f>
        <v>1846131338</v>
      </c>
      <c r="I27" s="372"/>
      <c r="J27" s="373"/>
      <c r="K27" s="361" t="s">
        <v>3</v>
      </c>
      <c r="L27" s="388">
        <v>11</v>
      </c>
      <c r="M27" s="389"/>
      <c r="N27" s="389"/>
      <c r="O27" s="389"/>
      <c r="P27" s="389"/>
      <c r="Q27" s="360"/>
    </row>
    <row r="28" spans="2:17" s="398" customFormat="1" ht="25.5" x14ac:dyDescent="0.25">
      <c r="B28" s="391" t="s">
        <v>870</v>
      </c>
      <c r="C28" s="736"/>
      <c r="D28" s="736"/>
      <c r="E28" s="392" t="s">
        <v>871</v>
      </c>
      <c r="F28" s="392"/>
      <c r="G28" s="392"/>
      <c r="H28" s="393"/>
      <c r="I28" s="393"/>
      <c r="J28" s="394"/>
      <c r="K28" s="395" t="s">
        <v>3</v>
      </c>
      <c r="L28" s="392">
        <v>11</v>
      </c>
      <c r="M28" s="396"/>
      <c r="N28" s="396"/>
      <c r="O28" s="396"/>
      <c r="P28" s="396"/>
      <c r="Q28" s="397"/>
    </row>
    <row r="29" spans="2:17" ht="25.5" x14ac:dyDescent="0.25">
      <c r="B29" s="399" t="s">
        <v>872</v>
      </c>
      <c r="C29" s="736"/>
      <c r="D29" s="736"/>
      <c r="E29" s="383" t="s">
        <v>8</v>
      </c>
      <c r="F29" s="383"/>
      <c r="G29" s="383"/>
      <c r="H29" s="384"/>
      <c r="I29" s="384">
        <f>I30</f>
        <v>4123265</v>
      </c>
      <c r="J29" s="366">
        <f>J30</f>
        <v>4123264.7016611709</v>
      </c>
      <c r="K29" s="358" t="s">
        <v>10</v>
      </c>
      <c r="L29" s="383">
        <v>21</v>
      </c>
      <c r="M29" s="386"/>
      <c r="N29" s="386"/>
      <c r="O29" s="386"/>
      <c r="P29" s="386"/>
      <c r="Q29" s="400"/>
    </row>
    <row r="30" spans="2:17" x14ac:dyDescent="0.25">
      <c r="B30" s="401" t="s">
        <v>873</v>
      </c>
      <c r="C30" s="731"/>
      <c r="D30" s="731"/>
      <c r="E30" s="388" t="s">
        <v>545</v>
      </c>
      <c r="F30" s="388"/>
      <c r="G30" s="388"/>
      <c r="H30" s="363"/>
      <c r="I30" s="363">
        <v>4123265</v>
      </c>
      <c r="J30" s="368">
        <f>6407754*0.6434804928</f>
        <v>4123264.7016611709</v>
      </c>
      <c r="K30" s="361" t="s">
        <v>10</v>
      </c>
      <c r="L30" s="388">
        <v>21</v>
      </c>
      <c r="M30" s="389"/>
      <c r="N30" s="389"/>
      <c r="O30" s="389"/>
      <c r="P30" s="389"/>
      <c r="Q30" s="360"/>
    </row>
    <row r="31" spans="2:17" ht="25.5" x14ac:dyDescent="0.25">
      <c r="B31" s="382" t="s">
        <v>872</v>
      </c>
      <c r="C31" s="730">
        <v>4000</v>
      </c>
      <c r="D31" s="730" t="s">
        <v>874</v>
      </c>
      <c r="E31" s="383" t="s">
        <v>7</v>
      </c>
      <c r="F31" s="383"/>
      <c r="G31" s="383"/>
      <c r="H31" s="545">
        <f>H32</f>
        <v>106789603</v>
      </c>
      <c r="I31" s="384"/>
      <c r="J31" s="385"/>
      <c r="K31" s="358" t="s">
        <v>3</v>
      </c>
      <c r="L31" s="383">
        <v>11</v>
      </c>
      <c r="M31" s="386"/>
      <c r="N31" s="386"/>
      <c r="O31" s="386"/>
      <c r="P31" s="386"/>
      <c r="Q31" s="360"/>
    </row>
    <row r="32" spans="2:17" x14ac:dyDescent="0.25">
      <c r="B32" s="387" t="s">
        <v>873</v>
      </c>
      <c r="C32" s="736"/>
      <c r="D32" s="736"/>
      <c r="E32" s="388" t="s">
        <v>545</v>
      </c>
      <c r="F32" s="388"/>
      <c r="G32" s="388"/>
      <c r="H32" s="545">
        <v>106789603</v>
      </c>
      <c r="I32" s="363"/>
      <c r="J32" s="369"/>
      <c r="K32" s="361" t="s">
        <v>3</v>
      </c>
      <c r="L32" s="388">
        <v>11</v>
      </c>
      <c r="M32" s="389"/>
      <c r="N32" s="389"/>
      <c r="O32" s="389"/>
      <c r="P32" s="389"/>
      <c r="Q32" s="360"/>
    </row>
    <row r="33" spans="2:17" ht="25.5" x14ac:dyDescent="0.25">
      <c r="B33" s="382" t="s">
        <v>875</v>
      </c>
      <c r="C33" s="736"/>
      <c r="D33" s="736"/>
      <c r="E33" s="383" t="s">
        <v>7</v>
      </c>
      <c r="F33" s="383"/>
      <c r="G33" s="383"/>
      <c r="H33" s="384"/>
      <c r="I33" s="384">
        <f>I34</f>
        <v>193044.14783999999</v>
      </c>
      <c r="J33" s="366">
        <f>J34</f>
        <v>193044.14783999999</v>
      </c>
      <c r="K33" s="358" t="s">
        <v>10</v>
      </c>
      <c r="L33" s="383">
        <v>21</v>
      </c>
      <c r="M33" s="386"/>
      <c r="N33" s="386"/>
      <c r="O33" s="386"/>
      <c r="P33" s="386"/>
      <c r="Q33" s="360"/>
    </row>
    <row r="34" spans="2:17" x14ac:dyDescent="0.25">
      <c r="B34" s="401" t="s">
        <v>876</v>
      </c>
      <c r="C34" s="731"/>
      <c r="D34" s="731"/>
      <c r="E34" s="388" t="s">
        <v>545</v>
      </c>
      <c r="F34" s="388"/>
      <c r="G34" s="388"/>
      <c r="H34" s="363"/>
      <c r="I34" s="363">
        <v>193044.14783999999</v>
      </c>
      <c r="J34" s="368">
        <f>300000*0.6434804928</f>
        <v>193044.14783999999</v>
      </c>
      <c r="K34" s="361" t="s">
        <v>10</v>
      </c>
      <c r="L34" s="388">
        <v>21</v>
      </c>
      <c r="M34" s="389"/>
      <c r="N34" s="389"/>
      <c r="O34" s="389"/>
      <c r="P34" s="389"/>
      <c r="Q34" s="360"/>
    </row>
    <row r="35" spans="2:17" ht="25.5" x14ac:dyDescent="0.25">
      <c r="B35" s="382" t="s">
        <v>877</v>
      </c>
      <c r="C35" s="730">
        <v>13</v>
      </c>
      <c r="D35" s="730" t="s">
        <v>878</v>
      </c>
      <c r="E35" s="383" t="s">
        <v>5</v>
      </c>
      <c r="F35" s="383"/>
      <c r="G35" s="383"/>
      <c r="H35" s="402">
        <f>H36</f>
        <v>707779407</v>
      </c>
      <c r="I35" s="402"/>
      <c r="J35" s="403"/>
      <c r="K35" s="358" t="s">
        <v>3</v>
      </c>
      <c r="L35" s="383">
        <v>11</v>
      </c>
      <c r="M35" s="386"/>
      <c r="N35" s="386"/>
      <c r="O35" s="386"/>
      <c r="P35" s="386"/>
      <c r="Q35" s="360"/>
    </row>
    <row r="36" spans="2:17" x14ac:dyDescent="0.25">
      <c r="B36" s="387" t="s">
        <v>879</v>
      </c>
      <c r="C36" s="736"/>
      <c r="D36" s="736"/>
      <c r="E36" s="388" t="s">
        <v>545</v>
      </c>
      <c r="F36" s="388"/>
      <c r="G36" s="388"/>
      <c r="H36" s="404">
        <v>707779407</v>
      </c>
      <c r="I36" s="404"/>
      <c r="J36" s="405"/>
      <c r="K36" s="361" t="s">
        <v>3</v>
      </c>
      <c r="L36" s="388">
        <v>11</v>
      </c>
      <c r="M36" s="389"/>
      <c r="N36" s="389"/>
      <c r="O36" s="389"/>
      <c r="P36" s="389"/>
      <c r="Q36" s="360"/>
    </row>
    <row r="37" spans="2:17" ht="25.5" x14ac:dyDescent="0.25">
      <c r="B37" s="382" t="s">
        <v>877</v>
      </c>
      <c r="C37" s="736"/>
      <c r="D37" s="736"/>
      <c r="E37" s="383" t="s">
        <v>5</v>
      </c>
      <c r="F37" s="383"/>
      <c r="G37" s="383"/>
      <c r="H37" s="402"/>
      <c r="I37" s="402">
        <f>I38</f>
        <v>122177641</v>
      </c>
      <c r="J37" s="366">
        <f>J38</f>
        <v>122177641.167936</v>
      </c>
      <c r="K37" s="358" t="s">
        <v>10</v>
      </c>
      <c r="L37" s="383">
        <v>21</v>
      </c>
      <c r="M37" s="386"/>
      <c r="N37" s="386"/>
      <c r="O37" s="386"/>
      <c r="P37" s="386"/>
      <c r="Q37" s="360"/>
    </row>
    <row r="38" spans="2:17" x14ac:dyDescent="0.25">
      <c r="B38" s="387" t="s">
        <v>879</v>
      </c>
      <c r="C38" s="731"/>
      <c r="D38" s="731"/>
      <c r="E38" s="388" t="s">
        <v>545</v>
      </c>
      <c r="F38" s="388"/>
      <c r="G38" s="388"/>
      <c r="H38" s="404"/>
      <c r="I38" s="404">
        <v>122177641</v>
      </c>
      <c r="J38" s="368">
        <f>189870000*0.6434804928</f>
        <v>122177641.167936</v>
      </c>
      <c r="K38" s="361" t="s">
        <v>10</v>
      </c>
      <c r="L38" s="388">
        <v>21</v>
      </c>
      <c r="M38" s="389"/>
      <c r="N38" s="389"/>
      <c r="O38" s="389"/>
      <c r="P38" s="389"/>
      <c r="Q38" s="360"/>
    </row>
    <row r="39" spans="2:17" ht="51" x14ac:dyDescent="0.25">
      <c r="B39" s="406" t="s">
        <v>880</v>
      </c>
      <c r="C39" s="406"/>
      <c r="D39" s="406"/>
      <c r="E39" s="407" t="s">
        <v>881</v>
      </c>
      <c r="F39" s="407"/>
      <c r="G39" s="407"/>
      <c r="H39" s="408">
        <f>+H40+H42+H44+H46+H48</f>
        <v>716120738</v>
      </c>
      <c r="I39" s="408">
        <f>I40+I42+I44+I46+I48</f>
        <v>64348049.279999994</v>
      </c>
      <c r="J39" s="409">
        <f>J44</f>
        <v>64348049.279999994</v>
      </c>
      <c r="K39" s="410"/>
      <c r="L39" s="379"/>
      <c r="M39" s="350">
        <f>H39*0.6</f>
        <v>429672442.80000001</v>
      </c>
      <c r="N39" s="350">
        <f>H39*0.4</f>
        <v>286448295.19999999</v>
      </c>
      <c r="O39" s="350">
        <f>I39*0.6</f>
        <v>38608829.567999996</v>
      </c>
      <c r="P39" s="350">
        <f>I39*0.4</f>
        <v>25739219.711999997</v>
      </c>
      <c r="Q39" s="381">
        <f>H39+I39</f>
        <v>780468787.27999997</v>
      </c>
    </row>
    <row r="40" spans="2:17" x14ac:dyDescent="0.25">
      <c r="B40" s="382" t="s">
        <v>882</v>
      </c>
      <c r="C40" s="730">
        <v>0</v>
      </c>
      <c r="D40" s="734" t="s">
        <v>883</v>
      </c>
      <c r="E40" s="383" t="s">
        <v>883</v>
      </c>
      <c r="F40" s="383"/>
      <c r="G40" s="383"/>
      <c r="H40" s="411">
        <f>H41</f>
        <v>0</v>
      </c>
      <c r="I40" s="411"/>
      <c r="J40" s="412"/>
      <c r="K40" s="413" t="s">
        <v>3</v>
      </c>
      <c r="L40" s="383">
        <v>11</v>
      </c>
      <c r="M40" s="386"/>
      <c r="N40" s="386"/>
      <c r="O40" s="386"/>
      <c r="P40" s="386"/>
      <c r="Q40" s="360"/>
    </row>
    <row r="41" spans="2:17" x14ac:dyDescent="0.25">
      <c r="B41" s="387" t="s">
        <v>884</v>
      </c>
      <c r="C41" s="731"/>
      <c r="D41" s="735"/>
      <c r="E41" s="388" t="s">
        <v>545</v>
      </c>
      <c r="F41" s="388"/>
      <c r="G41" s="388"/>
      <c r="H41" s="414">
        <f>38192400-38192400</f>
        <v>0</v>
      </c>
      <c r="I41" s="414"/>
      <c r="J41" s="415"/>
      <c r="K41" s="416" t="s">
        <v>3</v>
      </c>
      <c r="L41" s="388">
        <v>11</v>
      </c>
      <c r="M41" s="389"/>
      <c r="N41" s="389"/>
      <c r="O41" s="389"/>
      <c r="P41" s="389"/>
      <c r="Q41" s="360"/>
    </row>
    <row r="42" spans="2:17" x14ac:dyDescent="0.25">
      <c r="B42" s="382" t="s">
        <v>885</v>
      </c>
      <c r="C42" s="730">
        <v>1</v>
      </c>
      <c r="D42" s="730" t="s">
        <v>13</v>
      </c>
      <c r="E42" s="383" t="s">
        <v>13</v>
      </c>
      <c r="F42" s="383"/>
      <c r="G42" s="383"/>
      <c r="H42" s="411">
        <f>H43</f>
        <v>281365205</v>
      </c>
      <c r="I42" s="411"/>
      <c r="J42" s="412"/>
      <c r="K42" s="413" t="s">
        <v>3</v>
      </c>
      <c r="L42" s="383">
        <v>11</v>
      </c>
      <c r="M42" s="386"/>
      <c r="N42" s="386"/>
      <c r="O42" s="386"/>
      <c r="P42" s="386"/>
      <c r="Q42" s="360"/>
    </row>
    <row r="43" spans="2:17" x14ac:dyDescent="0.25">
      <c r="B43" s="387" t="s">
        <v>886</v>
      </c>
      <c r="C43" s="736"/>
      <c r="D43" s="736"/>
      <c r="E43" s="388" t="s">
        <v>545</v>
      </c>
      <c r="F43" s="388"/>
      <c r="G43" s="388"/>
      <c r="H43" s="414">
        <f>243172805+38192400</f>
        <v>281365205</v>
      </c>
      <c r="I43" s="414"/>
      <c r="J43" s="415"/>
      <c r="K43" s="416" t="s">
        <v>3</v>
      </c>
      <c r="L43" s="388">
        <v>11</v>
      </c>
      <c r="M43" s="389"/>
      <c r="N43" s="389"/>
      <c r="O43" s="389"/>
      <c r="P43" s="389"/>
      <c r="Q43" s="360"/>
    </row>
    <row r="44" spans="2:17" x14ac:dyDescent="0.25">
      <c r="B44" s="382" t="s">
        <v>885</v>
      </c>
      <c r="C44" s="736"/>
      <c r="D44" s="736"/>
      <c r="E44" s="383" t="s">
        <v>13</v>
      </c>
      <c r="F44" s="383"/>
      <c r="G44" s="383"/>
      <c r="H44" s="411"/>
      <c r="I44" s="411">
        <v>64348049.279999994</v>
      </c>
      <c r="J44" s="366">
        <f>J45</f>
        <v>64348049.279999994</v>
      </c>
      <c r="K44" s="413" t="s">
        <v>10</v>
      </c>
      <c r="L44" s="383">
        <v>21</v>
      </c>
      <c r="M44" s="386"/>
      <c r="N44" s="386"/>
      <c r="O44" s="386"/>
      <c r="P44" s="386"/>
      <c r="Q44" s="360"/>
    </row>
    <row r="45" spans="2:17" x14ac:dyDescent="0.25">
      <c r="B45" s="387" t="s">
        <v>886</v>
      </c>
      <c r="C45" s="731"/>
      <c r="D45" s="731"/>
      <c r="E45" s="388" t="s">
        <v>545</v>
      </c>
      <c r="F45" s="388"/>
      <c r="G45" s="388"/>
      <c r="H45" s="414"/>
      <c r="I45" s="414">
        <v>64348049</v>
      </c>
      <c r="J45" s="368">
        <f>100000000*0.6434804928</f>
        <v>64348049.279999994</v>
      </c>
      <c r="K45" s="416" t="s">
        <v>10</v>
      </c>
      <c r="L45" s="388">
        <v>21</v>
      </c>
      <c r="M45" s="389"/>
      <c r="N45" s="389"/>
      <c r="O45" s="389"/>
      <c r="P45" s="389"/>
      <c r="Q45" s="360"/>
    </row>
    <row r="46" spans="2:17" ht="13.5" x14ac:dyDescent="0.25">
      <c r="B46" s="382" t="s">
        <v>887</v>
      </c>
      <c r="C46" s="730">
        <v>1</v>
      </c>
      <c r="D46" s="730" t="s">
        <v>888</v>
      </c>
      <c r="E46" s="383" t="s">
        <v>12</v>
      </c>
      <c r="F46" s="383"/>
      <c r="G46" s="539"/>
      <c r="H46" s="544">
        <f>H47</f>
        <v>206584999</v>
      </c>
      <c r="I46" s="411"/>
      <c r="J46" s="412"/>
      <c r="K46" s="413" t="s">
        <v>3</v>
      </c>
      <c r="L46" s="383">
        <v>11</v>
      </c>
      <c r="M46" s="386"/>
      <c r="N46" s="386"/>
      <c r="O46" s="386"/>
      <c r="P46" s="386"/>
      <c r="Q46" s="360"/>
    </row>
    <row r="47" spans="2:17" ht="13.5" x14ac:dyDescent="0.25">
      <c r="B47" s="387" t="s">
        <v>889</v>
      </c>
      <c r="C47" s="731"/>
      <c r="D47" s="731"/>
      <c r="E47" s="388" t="s">
        <v>545</v>
      </c>
      <c r="F47" s="388"/>
      <c r="G47" s="388"/>
      <c r="H47" s="544">
        <v>206584999</v>
      </c>
      <c r="I47" s="414"/>
      <c r="J47" s="415"/>
      <c r="K47" s="416" t="s">
        <v>3</v>
      </c>
      <c r="L47" s="388">
        <v>11</v>
      </c>
      <c r="M47" s="389"/>
      <c r="N47" s="389"/>
      <c r="O47" s="389"/>
      <c r="P47" s="389"/>
      <c r="Q47" s="360"/>
    </row>
    <row r="48" spans="2:17" ht="25.5" x14ac:dyDescent="0.25">
      <c r="B48" s="382" t="s">
        <v>890</v>
      </c>
      <c r="C48" s="730">
        <v>1</v>
      </c>
      <c r="D48" s="732" t="s">
        <v>891</v>
      </c>
      <c r="E48" s="383" t="s">
        <v>14</v>
      </c>
      <c r="F48" s="383"/>
      <c r="G48" s="383"/>
      <c r="H48" s="411">
        <f>H49</f>
        <v>228170534</v>
      </c>
      <c r="I48" s="411"/>
      <c r="J48" s="412"/>
      <c r="K48" s="413" t="s">
        <v>3</v>
      </c>
      <c r="L48" s="383">
        <v>11</v>
      </c>
      <c r="M48" s="386"/>
      <c r="N48" s="386"/>
      <c r="O48" s="386"/>
      <c r="P48" s="386"/>
      <c r="Q48" s="360"/>
    </row>
    <row r="49" spans="2:17" x14ac:dyDescent="0.25">
      <c r="B49" s="387" t="s">
        <v>892</v>
      </c>
      <c r="C49" s="731"/>
      <c r="D49" s="733"/>
      <c r="E49" s="388" t="s">
        <v>545</v>
      </c>
      <c r="F49" s="388"/>
      <c r="G49" s="388"/>
      <c r="H49" s="414">
        <v>228170534</v>
      </c>
      <c r="I49" s="414"/>
      <c r="J49" s="415"/>
      <c r="K49" s="416" t="s">
        <v>3</v>
      </c>
      <c r="L49" s="388">
        <v>11</v>
      </c>
      <c r="M49" s="389"/>
      <c r="N49" s="389"/>
      <c r="O49" s="389"/>
      <c r="P49" s="389"/>
      <c r="Q49" s="360"/>
    </row>
    <row r="50" spans="2:17" ht="41.1" customHeight="1" x14ac:dyDescent="0.25">
      <c r="B50" s="417"/>
      <c r="C50" s="418">
        <v>0</v>
      </c>
      <c r="D50" s="419" t="s">
        <v>893</v>
      </c>
      <c r="E50" s="417"/>
      <c r="F50" s="417"/>
      <c r="G50" s="417"/>
      <c r="H50" s="420"/>
      <c r="I50" s="420"/>
      <c r="J50" s="420"/>
      <c r="K50" s="421"/>
      <c r="L50" s="417"/>
      <c r="M50" s="417"/>
      <c r="N50" s="417"/>
      <c r="O50" s="417"/>
      <c r="P50" s="417"/>
      <c r="Q50" s="417"/>
    </row>
    <row r="51" spans="2:17" ht="41.1" customHeight="1" x14ac:dyDescent="0.25">
      <c r="B51" s="417"/>
      <c r="C51" s="418">
        <v>0</v>
      </c>
      <c r="D51" s="419" t="s">
        <v>894</v>
      </c>
      <c r="E51" s="417"/>
      <c r="F51" s="417"/>
      <c r="G51" s="417"/>
      <c r="H51" s="420"/>
      <c r="I51" s="420"/>
      <c r="J51" s="420"/>
      <c r="K51" s="421"/>
      <c r="L51" s="417"/>
      <c r="M51" s="417"/>
      <c r="N51" s="417"/>
      <c r="O51" s="417"/>
      <c r="P51" s="417"/>
      <c r="Q51" s="417"/>
    </row>
    <row r="52" spans="2:17" ht="41.1" customHeight="1" x14ac:dyDescent="0.25">
      <c r="B52" s="417"/>
      <c r="C52" s="418">
        <v>0</v>
      </c>
      <c r="D52" s="419" t="s">
        <v>895</v>
      </c>
      <c r="E52" s="417"/>
      <c r="F52" s="417"/>
      <c r="G52" s="417"/>
      <c r="H52" s="417"/>
      <c r="I52" s="417"/>
      <c r="J52" s="422">
        <f>J9+J15+J20+J29+J33+J37+J44</f>
        <v>250699999.99487999</v>
      </c>
      <c r="K52" s="421"/>
      <c r="L52" s="417"/>
      <c r="M52" s="417"/>
      <c r="N52" s="417"/>
      <c r="O52" s="417"/>
      <c r="P52" s="417"/>
      <c r="Q52" s="417"/>
    </row>
    <row r="53" spans="2:17" ht="38.25" x14ac:dyDescent="0.25">
      <c r="B53" s="417"/>
      <c r="C53" s="418">
        <v>0</v>
      </c>
      <c r="D53" s="419" t="s">
        <v>896</v>
      </c>
      <c r="E53" s="417"/>
      <c r="F53" s="417"/>
      <c r="G53" s="417"/>
      <c r="H53" s="420"/>
      <c r="I53" s="420"/>
      <c r="J53" s="420"/>
      <c r="K53" s="421"/>
      <c r="L53" s="417"/>
      <c r="M53" s="417"/>
      <c r="N53" s="417"/>
      <c r="O53" s="417"/>
      <c r="P53" s="417"/>
      <c r="Q53" s="417"/>
    </row>
    <row r="54" spans="2:17" x14ac:dyDescent="0.25"/>
    <row r="55" spans="2:17" x14ac:dyDescent="0.25"/>
    <row r="56" spans="2:17" x14ac:dyDescent="0.25"/>
    <row r="57" spans="2:17" x14ac:dyDescent="0.25"/>
    <row r="58" spans="2:17" x14ac:dyDescent="0.25"/>
    <row r="59" spans="2:17" x14ac:dyDescent="0.25"/>
    <row r="60" spans="2:17" x14ac:dyDescent="0.25"/>
    <row r="61" spans="2:17" x14ac:dyDescent="0.25"/>
    <row r="62" spans="2:17" x14ac:dyDescent="0.25"/>
    <row r="63" spans="2:17" x14ac:dyDescent="0.25"/>
    <row r="64" spans="2:17" x14ac:dyDescent="0.25"/>
    <row r="65" spans="8:9" x14ac:dyDescent="0.25"/>
    <row r="67" spans="8:9" x14ac:dyDescent="0.25"/>
    <row r="68" spans="8:9" x14ac:dyDescent="0.25"/>
    <row r="69" spans="8:9" x14ac:dyDescent="0.25"/>
    <row r="70" spans="8:9" x14ac:dyDescent="0.25"/>
    <row r="71" spans="8:9" x14ac:dyDescent="0.25"/>
    <row r="72" spans="8:9" x14ac:dyDescent="0.25">
      <c r="H72" s="423">
        <f>H5+H17+H39</f>
        <v>5000829173</v>
      </c>
      <c r="I72" s="423">
        <f>I4+I17+I39</f>
        <v>250700000.42783999</v>
      </c>
    </row>
    <row r="73" spans="8:9" x14ac:dyDescent="0.25"/>
    <row r="74" spans="8:9" x14ac:dyDescent="0.25"/>
    <row r="75" spans="8:9" x14ac:dyDescent="0.25"/>
  </sheetData>
  <autoFilter ref="B3:S3" xr:uid="{A6B29E9B-782F-5440-91BE-1791A2E8C23B}"/>
  <mergeCells count="26">
    <mergeCell ref="C7:C10"/>
    <mergeCell ref="D7:D10"/>
    <mergeCell ref="C11:C12"/>
    <mergeCell ref="D11:D12"/>
    <mergeCell ref="C13:C16"/>
    <mergeCell ref="D13:D16"/>
    <mergeCell ref="C18:C21"/>
    <mergeCell ref="D18:D21"/>
    <mergeCell ref="C22:C23"/>
    <mergeCell ref="D22:D23"/>
    <mergeCell ref="C24:C25"/>
    <mergeCell ref="D24:D25"/>
    <mergeCell ref="C26:C30"/>
    <mergeCell ref="D26:D30"/>
    <mergeCell ref="C31:C34"/>
    <mergeCell ref="D31:D34"/>
    <mergeCell ref="C35:C38"/>
    <mergeCell ref="D35:D38"/>
    <mergeCell ref="C48:C49"/>
    <mergeCell ref="D48:D49"/>
    <mergeCell ref="C40:C41"/>
    <mergeCell ref="D40:D41"/>
    <mergeCell ref="C42:C45"/>
    <mergeCell ref="D42:D45"/>
    <mergeCell ref="C46:C47"/>
    <mergeCell ref="D46:D47"/>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B5A3B-60D1-5B44-B57A-D3A7E0FCB47F}">
  <dimension ref="A1:I70"/>
  <sheetViews>
    <sheetView workbookViewId="0">
      <selection activeCell="J64" sqref="J64"/>
    </sheetView>
  </sheetViews>
  <sheetFormatPr baseColWidth="10" defaultColWidth="11.42578125" defaultRowHeight="15" x14ac:dyDescent="0.25"/>
  <cols>
    <col min="1" max="1" width="39.7109375" bestFit="1" customWidth="1"/>
    <col min="2" max="2" width="20.28515625" bestFit="1" customWidth="1"/>
    <col min="3" max="3" width="13.42578125" bestFit="1" customWidth="1"/>
    <col min="4" max="4" width="15" bestFit="1" customWidth="1"/>
    <col min="5" max="5" width="87.140625" customWidth="1"/>
  </cols>
  <sheetData>
    <row r="1" spans="1:9" ht="20.100000000000001" customHeight="1" x14ac:dyDescent="0.25">
      <c r="A1" s="436" t="s">
        <v>897</v>
      </c>
      <c r="B1" s="437" t="s">
        <v>898</v>
      </c>
      <c r="C1" s="437" t="s">
        <v>899</v>
      </c>
      <c r="D1" s="437" t="s">
        <v>900</v>
      </c>
      <c r="E1" s="437" t="s">
        <v>901</v>
      </c>
    </row>
    <row r="2" spans="1:9" ht="20.100000000000001" customHeight="1" x14ac:dyDescent="0.25">
      <c r="A2" s="438" t="s">
        <v>847</v>
      </c>
      <c r="B2" s="439" t="s">
        <v>902</v>
      </c>
      <c r="C2" s="439">
        <v>128664216</v>
      </c>
      <c r="D2" s="439">
        <v>56365813</v>
      </c>
      <c r="E2" s="439" t="s">
        <v>903</v>
      </c>
    </row>
    <row r="3" spans="1:9" ht="20.100000000000001" customHeight="1" x14ac:dyDescent="0.25">
      <c r="A3" s="438"/>
      <c r="B3" s="439"/>
      <c r="C3" s="439"/>
      <c r="D3" s="439"/>
      <c r="E3" s="439" t="s">
        <v>904</v>
      </c>
    </row>
    <row r="4" spans="1:9" ht="20.100000000000001" customHeight="1" x14ac:dyDescent="0.25">
      <c r="A4" s="438" t="s">
        <v>850</v>
      </c>
      <c r="B4" s="439" t="s">
        <v>905</v>
      </c>
      <c r="C4" s="439">
        <v>0</v>
      </c>
      <c r="D4" s="439">
        <v>0</v>
      </c>
      <c r="E4" s="439" t="s">
        <v>906</v>
      </c>
    </row>
    <row r="5" spans="1:9" ht="20.100000000000001" customHeight="1" x14ac:dyDescent="0.25">
      <c r="A5" s="438"/>
      <c r="B5" s="439"/>
      <c r="C5" s="439"/>
      <c r="D5" s="439"/>
      <c r="E5" s="439" t="s">
        <v>907</v>
      </c>
    </row>
    <row r="6" spans="1:9" ht="20.100000000000001" customHeight="1" x14ac:dyDescent="0.25">
      <c r="A6" s="438" t="s">
        <v>844</v>
      </c>
      <c r="B6" s="439" t="s">
        <v>908</v>
      </c>
      <c r="C6" s="439">
        <v>0</v>
      </c>
      <c r="D6" s="439">
        <v>0</v>
      </c>
      <c r="E6" s="439" t="s">
        <v>909</v>
      </c>
    </row>
    <row r="7" spans="1:9" ht="20.100000000000001" customHeight="1" x14ac:dyDescent="0.25">
      <c r="A7" s="438"/>
      <c r="B7" s="439"/>
      <c r="C7" s="439"/>
      <c r="D7" s="439"/>
      <c r="E7" s="439" t="s">
        <v>910</v>
      </c>
    </row>
    <row r="8" spans="1:9" ht="20.100000000000001" customHeight="1" x14ac:dyDescent="0.25">
      <c r="A8" s="622"/>
      <c r="B8" s="622"/>
      <c r="C8" s="624">
        <f>SUM(C2:C7)</f>
        <v>128664216</v>
      </c>
      <c r="D8" s="624">
        <f>SUM(D2:D7)</f>
        <v>56365813</v>
      </c>
      <c r="E8" s="622"/>
    </row>
    <row r="9" spans="1:9" ht="20.100000000000001" customHeight="1" x14ac:dyDescent="0.25">
      <c r="A9" s="440"/>
      <c r="B9" s="440"/>
      <c r="C9" s="440"/>
      <c r="D9" s="440"/>
      <c r="E9" s="440"/>
    </row>
    <row r="10" spans="1:9" ht="20.100000000000001" customHeight="1" x14ac:dyDescent="0.25">
      <c r="A10" s="440" t="s">
        <v>881</v>
      </c>
      <c r="B10" s="440"/>
      <c r="C10" s="440"/>
      <c r="D10" s="440"/>
      <c r="E10" s="440"/>
    </row>
    <row r="11" spans="1:9" ht="20.100000000000001" customHeight="1" x14ac:dyDescent="0.25">
      <c r="A11" s="441"/>
      <c r="B11" s="442"/>
      <c r="C11" s="443" t="s">
        <v>899</v>
      </c>
      <c r="D11" s="443" t="s">
        <v>900</v>
      </c>
      <c r="E11" s="443" t="s">
        <v>901</v>
      </c>
    </row>
    <row r="12" spans="1:9" ht="20.100000000000001" customHeight="1" x14ac:dyDescent="0.25">
      <c r="A12" s="444" t="s">
        <v>882</v>
      </c>
      <c r="B12" s="445" t="s">
        <v>883</v>
      </c>
      <c r="C12" s="446" t="s">
        <v>911</v>
      </c>
      <c r="D12" s="447"/>
      <c r="E12" s="448" t="s">
        <v>912</v>
      </c>
    </row>
    <row r="13" spans="1:9" ht="20.100000000000001" customHeight="1" x14ac:dyDescent="0.25">
      <c r="A13" s="444"/>
      <c r="B13" s="445"/>
      <c r="C13" s="446"/>
      <c r="D13" s="447"/>
      <c r="E13" s="448" t="s">
        <v>913</v>
      </c>
    </row>
    <row r="14" spans="1:9" ht="20.100000000000001" customHeight="1" x14ac:dyDescent="0.25">
      <c r="A14" s="444"/>
      <c r="B14" s="445"/>
      <c r="C14" s="446"/>
      <c r="D14" s="447"/>
      <c r="E14" s="448" t="s">
        <v>914</v>
      </c>
    </row>
    <row r="15" spans="1:9" ht="20.100000000000001" customHeight="1" x14ac:dyDescent="0.25">
      <c r="A15" s="444" t="s">
        <v>885</v>
      </c>
      <c r="B15" s="445" t="s">
        <v>13</v>
      </c>
      <c r="C15" s="446">
        <v>281365205</v>
      </c>
      <c r="D15" s="446">
        <v>64348049</v>
      </c>
      <c r="E15" s="448" t="s">
        <v>915</v>
      </c>
      <c r="G15" t="str">
        <f>UPPER(E15)</f>
        <v xml:space="preserve"> REALIZAR MANTENIMIENTO A ELEMENTOS NO ESTRUCTURALES DE LAS SEDES </v>
      </c>
    </row>
    <row r="16" spans="1:9" ht="20.100000000000001" customHeight="1" x14ac:dyDescent="0.25">
      <c r="A16" s="444"/>
      <c r="B16" s="445"/>
      <c r="C16" s="446"/>
      <c r="D16" s="447"/>
      <c r="E16" s="448" t="s">
        <v>916</v>
      </c>
      <c r="G16" t="str">
        <f t="shared" ref="G16:G37" si="0">UPPER(E16)</f>
        <v xml:space="preserve"> MANTENER Y RESTAURAR EL ECOSISTEMA VEGETAL DE LAS SEDES DEL INSTITUTO </v>
      </c>
      <c r="I16" t="s">
        <v>917</v>
      </c>
    </row>
    <row r="17" spans="1:9" ht="20.100000000000001" customHeight="1" x14ac:dyDescent="0.25">
      <c r="A17" s="444"/>
      <c r="B17" s="445"/>
      <c r="C17" s="446"/>
      <c r="D17" s="447"/>
      <c r="E17" s="448" t="s">
        <v>918</v>
      </c>
      <c r="G17" t="str">
        <f t="shared" si="0"/>
        <v xml:space="preserve"> ERRADICAR FAUNA Y FLORA PARÁSITA DE LAS SEDES DEL INSTITUTO </v>
      </c>
      <c r="I17" t="s">
        <v>919</v>
      </c>
    </row>
    <row r="18" spans="1:9" ht="20.100000000000001" customHeight="1" x14ac:dyDescent="0.25">
      <c r="A18" s="444" t="s">
        <v>887</v>
      </c>
      <c r="B18" s="445" t="s">
        <v>12</v>
      </c>
      <c r="C18" s="446">
        <v>206584999</v>
      </c>
      <c r="D18" s="447"/>
      <c r="E18" s="448" t="s">
        <v>920</v>
      </c>
      <c r="G18" t="str">
        <f t="shared" si="0"/>
        <v xml:space="preserve"> DISEÑAR HERRAMIENTAS PARA ORIENTAR LA PLANEACIÓN INSTITUCIONAL </v>
      </c>
      <c r="I18" t="s">
        <v>206</v>
      </c>
    </row>
    <row r="19" spans="1:9" ht="20.100000000000001" customHeight="1" x14ac:dyDescent="0.25">
      <c r="A19" s="444"/>
      <c r="B19" s="445"/>
      <c r="C19" s="446"/>
      <c r="D19" s="447"/>
      <c r="E19" s="448" t="s">
        <v>921</v>
      </c>
      <c r="G19" t="str">
        <f t="shared" si="0"/>
        <v xml:space="preserve"> DISEÑAR HERRAMIENTAS PARA MONITOREAR LA PLANEACIÓN INSTITUCIONAL </v>
      </c>
      <c r="I19" t="s">
        <v>922</v>
      </c>
    </row>
    <row r="20" spans="1:9" ht="20.100000000000001" customHeight="1" x14ac:dyDescent="0.25">
      <c r="A20" s="444" t="s">
        <v>890</v>
      </c>
      <c r="B20" s="445" t="s">
        <v>14</v>
      </c>
      <c r="C20" s="446">
        <v>228170534</v>
      </c>
      <c r="D20" s="447"/>
      <c r="E20" s="448" t="s">
        <v>923</v>
      </c>
      <c r="G20" t="str">
        <f t="shared" si="0"/>
        <v xml:space="preserve"> ADAPTAR EL MODELO INTEGRADO DE PLANEACIÓN Y GESTIÓN AL INSTITUTO </v>
      </c>
      <c r="I20" t="s">
        <v>262</v>
      </c>
    </row>
    <row r="21" spans="1:9" ht="20.100000000000001" customHeight="1" x14ac:dyDescent="0.25">
      <c r="A21" s="449"/>
      <c r="B21" s="450"/>
      <c r="D21" s="450"/>
      <c r="E21" s="451" t="s">
        <v>924</v>
      </c>
      <c r="G21" t="str">
        <f t="shared" si="0"/>
        <v>REALIZAR MONITOREOS Y RECOMENDACIONES DE LOS SISTEMAS DE GESTIÓN DEL INSTITUTO</v>
      </c>
      <c r="I21" t="s">
        <v>925</v>
      </c>
    </row>
    <row r="22" spans="1:9" ht="20.100000000000001" customHeight="1" x14ac:dyDescent="0.25">
      <c r="A22" s="622"/>
      <c r="B22" s="622"/>
      <c r="C22" s="623">
        <f>SUM(C12:C21)</f>
        <v>716120738</v>
      </c>
      <c r="D22" s="623">
        <f>SUM(D12:D21)</f>
        <v>64348049</v>
      </c>
      <c r="E22" s="622"/>
      <c r="G22" t="str">
        <f t="shared" si="0"/>
        <v/>
      </c>
      <c r="I22" t="s">
        <v>740</v>
      </c>
    </row>
    <row r="23" spans="1:9" ht="20.100000000000001" customHeight="1" x14ac:dyDescent="0.25">
      <c r="A23" s="440"/>
      <c r="B23" s="440"/>
      <c r="C23" s="440"/>
      <c r="D23" s="440"/>
      <c r="E23" s="440"/>
      <c r="G23" t="str">
        <f t="shared" si="0"/>
        <v/>
      </c>
      <c r="I23" t="s">
        <v>740</v>
      </c>
    </row>
    <row r="24" spans="1:9" ht="20.100000000000001" customHeight="1" x14ac:dyDescent="0.25">
      <c r="A24" s="436" t="s">
        <v>897</v>
      </c>
      <c r="B24" s="437" t="s">
        <v>898</v>
      </c>
      <c r="C24" s="437" t="s">
        <v>899</v>
      </c>
      <c r="D24" s="437" t="s">
        <v>900</v>
      </c>
      <c r="E24" s="437" t="s">
        <v>901</v>
      </c>
      <c r="G24" t="str">
        <f t="shared" si="0"/>
        <v>ACTIVIDADES</v>
      </c>
      <c r="I24" t="s">
        <v>926</v>
      </c>
    </row>
    <row r="25" spans="1:9" ht="20.100000000000001" customHeight="1" x14ac:dyDescent="0.25">
      <c r="A25" s="438" t="s">
        <v>856</v>
      </c>
      <c r="B25" s="439" t="s">
        <v>4</v>
      </c>
      <c r="C25" s="452">
        <v>887640309</v>
      </c>
      <c r="D25" s="452">
        <v>2202148</v>
      </c>
      <c r="E25" s="439" t="s">
        <v>927</v>
      </c>
      <c r="G25" t="str">
        <f t="shared" si="0"/>
        <v>DISEÑAR, APROBAR Y EJECUTAR LOS PROYECTOS DE INVESTIGACIÓN</v>
      </c>
      <c r="I25" t="s">
        <v>98</v>
      </c>
    </row>
    <row r="26" spans="1:9" ht="20.100000000000001" customHeight="1" x14ac:dyDescent="0.25">
      <c r="A26" s="438"/>
      <c r="B26" s="439"/>
      <c r="C26" s="452"/>
      <c r="D26" s="452"/>
      <c r="E26" s="439" t="s">
        <v>928</v>
      </c>
      <c r="G26" t="str">
        <f t="shared" si="0"/>
        <v>MONITOREAR, EVALUAR Y CERRAR LOS PROYECTOS DE INVESTIGACIÓN</v>
      </c>
      <c r="I26" t="s">
        <v>929</v>
      </c>
    </row>
    <row r="27" spans="1:9" ht="20.100000000000001" customHeight="1" x14ac:dyDescent="0.25">
      <c r="A27" s="438" t="s">
        <v>861</v>
      </c>
      <c r="B27" s="439" t="s">
        <v>6</v>
      </c>
      <c r="C27" s="452">
        <v>268145466</v>
      </c>
      <c r="D27" s="452">
        <v>1290040</v>
      </c>
      <c r="E27" s="439" t="s">
        <v>930</v>
      </c>
      <c r="G27" t="str">
        <f t="shared" si="0"/>
        <v>DISEÑAR, PREPARAR Y REALIZAR EXPOSICIONES EN SALAS MUSEALES</v>
      </c>
      <c r="I27" t="s">
        <v>189</v>
      </c>
    </row>
    <row r="28" spans="1:9" ht="20.100000000000001" customHeight="1" x14ac:dyDescent="0.25">
      <c r="A28" s="438"/>
      <c r="B28" s="439"/>
      <c r="C28" s="452"/>
      <c r="D28" s="452"/>
      <c r="E28" s="439" t="s">
        <v>931</v>
      </c>
      <c r="G28" t="str">
        <f t="shared" si="0"/>
        <v>EJECUTAR ACTIVIDADES DE MUSEOLOGÍA INSCRITAS EN EL PLAN DE GESTIÓN DE MUSEOS</v>
      </c>
      <c r="I28" t="s">
        <v>932</v>
      </c>
    </row>
    <row r="29" spans="1:9" ht="20.100000000000001" customHeight="1" x14ac:dyDescent="0.25">
      <c r="A29" s="438" t="s">
        <v>864</v>
      </c>
      <c r="B29" s="439" t="s">
        <v>9</v>
      </c>
      <c r="C29" s="452">
        <v>339558096</v>
      </c>
      <c r="E29" s="439" t="s">
        <v>933</v>
      </c>
      <c r="G29" t="str">
        <f t="shared" si="0"/>
        <v>PROGRAMAR, DISEÑAR Y OFERTAR PROGRAMAS DE EDUCACIÓN INFORMAL.</v>
      </c>
      <c r="I29" t="s">
        <v>934</v>
      </c>
    </row>
    <row r="30" spans="1:9" ht="20.100000000000001" customHeight="1" x14ac:dyDescent="0.25">
      <c r="A30" s="438"/>
      <c r="B30" s="439"/>
      <c r="C30" s="452"/>
      <c r="D30" s="452"/>
      <c r="E30" s="439" t="s">
        <v>935</v>
      </c>
      <c r="G30" t="str">
        <f t="shared" si="0"/>
        <v>EJECUTAR Y EVALUAR PROGRAMAS DE EDUCACIÓN INFORMAL</v>
      </c>
      <c r="I30" t="s">
        <v>936</v>
      </c>
    </row>
    <row r="31" spans="1:9" ht="20.100000000000001" customHeight="1" x14ac:dyDescent="0.25">
      <c r="A31" s="438" t="s">
        <v>867</v>
      </c>
      <c r="B31" s="439" t="s">
        <v>8</v>
      </c>
      <c r="C31" s="452">
        <v>1846131338</v>
      </c>
      <c r="D31" s="452">
        <v>4123265</v>
      </c>
      <c r="E31" s="439" t="s">
        <v>937</v>
      </c>
      <c r="G31" t="str">
        <f t="shared" si="0"/>
        <v>EJECUTAR PROGRAMAS DE POSGRADO CON REGISTRO CALIFICADO VIGENTE.</v>
      </c>
      <c r="I31" t="s">
        <v>65</v>
      </c>
    </row>
    <row r="32" spans="1:9" ht="20.100000000000001" customHeight="1" x14ac:dyDescent="0.25">
      <c r="A32" s="438"/>
      <c r="B32" s="439"/>
      <c r="C32" s="452"/>
      <c r="D32" s="452"/>
      <c r="E32" s="439" t="s">
        <v>938</v>
      </c>
      <c r="G32" t="str">
        <f t="shared" si="0"/>
        <v>EVALUAR Y AUTOEVALUAR PROGRAMAS CON REGISTRO CALIFICADO POR PARTE DE ESTUDIANTES, DOCENTES Y EGRESADOS</v>
      </c>
      <c r="I32" t="s">
        <v>939</v>
      </c>
    </row>
    <row r="33" spans="1:9" ht="20.100000000000001" customHeight="1" x14ac:dyDescent="0.25">
      <c r="A33" s="438" t="s">
        <v>872</v>
      </c>
      <c r="B33" s="439" t="s">
        <v>7</v>
      </c>
      <c r="C33" s="452">
        <v>106789603</v>
      </c>
      <c r="D33" s="452">
        <v>193044</v>
      </c>
      <c r="E33" s="439" t="s">
        <v>940</v>
      </c>
      <c r="G33" t="str">
        <f t="shared" si="0"/>
        <v>DISEÑAR, MONTAR, EDITAR, GRABAR Y PRODUCIR LA PROGRAMACIÓN</v>
      </c>
      <c r="I33" t="s">
        <v>167</v>
      </c>
    </row>
    <row r="34" spans="1:9" ht="20.100000000000001" customHeight="1" x14ac:dyDescent="0.25">
      <c r="A34" s="438"/>
      <c r="B34" s="439"/>
      <c r="C34" s="452"/>
      <c r="D34" s="452"/>
      <c r="E34" s="439" t="s">
        <v>941</v>
      </c>
      <c r="G34" t="str">
        <f t="shared" si="0"/>
        <v>REALIZAR Y PRODUCIR LA PROGRAMACIÓN</v>
      </c>
      <c r="I34" t="s">
        <v>942</v>
      </c>
    </row>
    <row r="35" spans="1:9" ht="20.100000000000001" customHeight="1" x14ac:dyDescent="0.25">
      <c r="A35" s="438" t="s">
        <v>877</v>
      </c>
      <c r="B35" s="439" t="s">
        <v>5</v>
      </c>
      <c r="C35" s="452">
        <v>707779407</v>
      </c>
      <c r="D35" s="452">
        <v>122177641</v>
      </c>
      <c r="E35" s="439" t="s">
        <v>943</v>
      </c>
      <c r="G35" t="str">
        <f t="shared" si="0"/>
        <v>REALIZAR ACTIVIDADES DE CONSOLIDACIÓN ACADÉMICA</v>
      </c>
      <c r="I35" t="s">
        <v>79</v>
      </c>
    </row>
    <row r="36" spans="1:9" ht="20.100000000000001" customHeight="1" x14ac:dyDescent="0.25">
      <c r="A36" s="453"/>
      <c r="B36" s="454"/>
      <c r="C36" s="454"/>
      <c r="D36" s="454"/>
      <c r="E36" s="439" t="s">
        <v>944</v>
      </c>
      <c r="G36" t="str">
        <f t="shared" si="0"/>
        <v>REALIZAR PROCESOS DE GESTIÓN EDITORIAL DEL INSTITUTO</v>
      </c>
      <c r="I36" t="s">
        <v>945</v>
      </c>
    </row>
    <row r="37" spans="1:9" ht="20.100000000000001" customHeight="1" x14ac:dyDescent="0.25">
      <c r="A37" s="453"/>
      <c r="B37" s="454"/>
      <c r="C37" s="454"/>
      <c r="D37" s="454"/>
      <c r="E37" s="439" t="s">
        <v>946</v>
      </c>
      <c r="G37" t="str">
        <f t="shared" si="0"/>
        <v>REALIZAR PROCESOS DE DIVULGACIÓN DE LAS ACTIVIDADES MISIONALES</v>
      </c>
      <c r="I37" t="s">
        <v>947</v>
      </c>
    </row>
    <row r="38" spans="1:9" x14ac:dyDescent="0.25">
      <c r="A38" s="620"/>
      <c r="B38" s="620"/>
      <c r="C38" s="621">
        <f>SUM(C25:C37)</f>
        <v>4156044219</v>
      </c>
      <c r="D38" s="621">
        <f>SUM(D25:D37)</f>
        <v>129986138</v>
      </c>
      <c r="E38" s="620"/>
    </row>
    <row r="47" spans="1:9" x14ac:dyDescent="0.25">
      <c r="A47" s="37" t="s">
        <v>716</v>
      </c>
      <c r="B47" s="37" t="s">
        <v>948</v>
      </c>
    </row>
    <row r="48" spans="1:9" x14ac:dyDescent="0.25">
      <c r="A48" s="37" t="s">
        <v>0</v>
      </c>
      <c r="B48" t="s">
        <v>3</v>
      </c>
      <c r="C48" t="s">
        <v>10</v>
      </c>
      <c r="D48" t="s">
        <v>17</v>
      </c>
    </row>
    <row r="49" spans="1:4" x14ac:dyDescent="0.25">
      <c r="A49" s="38" t="s">
        <v>949</v>
      </c>
      <c r="B49" s="82">
        <v>4156044218.3700004</v>
      </c>
      <c r="C49" s="82">
        <v>129986137.59999999</v>
      </c>
      <c r="D49" s="82">
        <v>4286030355.9700003</v>
      </c>
    </row>
    <row r="50" spans="1:4" x14ac:dyDescent="0.25">
      <c r="A50" s="537" t="s">
        <v>162</v>
      </c>
      <c r="B50" s="82">
        <v>317425334.0454545</v>
      </c>
      <c r="C50" s="82">
        <v>15000000</v>
      </c>
      <c r="D50" s="82">
        <v>332425334.0454545</v>
      </c>
    </row>
    <row r="51" spans="1:4" x14ac:dyDescent="0.25">
      <c r="A51" s="537" t="s">
        <v>117</v>
      </c>
      <c r="B51" s="82">
        <v>251085468</v>
      </c>
      <c r="C51" s="82"/>
      <c r="D51" s="82">
        <v>251085468</v>
      </c>
    </row>
    <row r="52" spans="1:4" x14ac:dyDescent="0.25">
      <c r="A52" s="537" t="s">
        <v>182</v>
      </c>
      <c r="B52" s="82">
        <v>304840353.95454544</v>
      </c>
      <c r="C52" s="82">
        <v>1290040</v>
      </c>
      <c r="D52" s="82">
        <v>306130393.95454544</v>
      </c>
    </row>
    <row r="53" spans="1:4" x14ac:dyDescent="0.25">
      <c r="A53" s="537" t="s">
        <v>59</v>
      </c>
      <c r="B53" s="82">
        <v>1750593876.1100001</v>
      </c>
      <c r="C53" s="82">
        <v>37228016.600000001</v>
      </c>
      <c r="D53" s="82">
        <v>1787821892.71</v>
      </c>
    </row>
    <row r="54" spans="1:4" x14ac:dyDescent="0.25">
      <c r="A54" s="537" t="s">
        <v>105</v>
      </c>
      <c r="B54" s="82">
        <v>70638898</v>
      </c>
      <c r="C54" s="82"/>
      <c r="D54" s="82">
        <v>70638898</v>
      </c>
    </row>
    <row r="55" spans="1:4" x14ac:dyDescent="0.25">
      <c r="A55" s="537" t="s">
        <v>170</v>
      </c>
      <c r="B55" s="82">
        <v>165149215</v>
      </c>
      <c r="C55" s="82">
        <v>28000000</v>
      </c>
      <c r="D55" s="82">
        <v>193149215</v>
      </c>
    </row>
    <row r="56" spans="1:4" x14ac:dyDescent="0.25">
      <c r="A56" s="537" t="s">
        <v>287</v>
      </c>
      <c r="B56" s="82">
        <v>148886296</v>
      </c>
      <c r="C56" s="82"/>
      <c r="D56" s="82">
        <v>148886296</v>
      </c>
    </row>
    <row r="57" spans="1:4" x14ac:dyDescent="0.25">
      <c r="A57" s="537" t="s">
        <v>94</v>
      </c>
      <c r="B57" s="82">
        <v>721339845</v>
      </c>
      <c r="C57" s="82">
        <v>14468081</v>
      </c>
      <c r="D57" s="82">
        <v>735807926</v>
      </c>
    </row>
    <row r="58" spans="1:4" x14ac:dyDescent="0.25">
      <c r="A58" s="537" t="s">
        <v>198</v>
      </c>
      <c r="B58" s="82">
        <v>425500393</v>
      </c>
      <c r="C58" s="82">
        <v>34000000</v>
      </c>
      <c r="D58" s="82">
        <v>459500393</v>
      </c>
    </row>
    <row r="59" spans="1:4" x14ac:dyDescent="0.25">
      <c r="A59" s="537" t="s">
        <v>472</v>
      </c>
      <c r="B59" s="82">
        <v>584539.26</v>
      </c>
      <c r="C59" s="82"/>
      <c r="D59" s="82">
        <v>584539.26</v>
      </c>
    </row>
    <row r="60" spans="1:4" x14ac:dyDescent="0.25">
      <c r="A60" s="38" t="s">
        <v>950</v>
      </c>
      <c r="B60" s="82">
        <v>716120738.43478262</v>
      </c>
      <c r="C60" s="82">
        <v>64348049.272727273</v>
      </c>
      <c r="D60" s="82">
        <v>780468787.70750988</v>
      </c>
    </row>
    <row r="61" spans="1:4" x14ac:dyDescent="0.25">
      <c r="A61" s="537" t="s">
        <v>270</v>
      </c>
      <c r="B61" s="82">
        <v>25895891</v>
      </c>
      <c r="C61" s="82">
        <v>23104109</v>
      </c>
      <c r="D61" s="82">
        <v>49000000</v>
      </c>
    </row>
    <row r="62" spans="1:4" x14ac:dyDescent="0.25">
      <c r="A62" s="537" t="s">
        <v>182</v>
      </c>
      <c r="B62" s="82">
        <v>5600000</v>
      </c>
      <c r="C62" s="82">
        <v>41243940.272727273</v>
      </c>
      <c r="D62" s="82">
        <v>46843940.272727273</v>
      </c>
    </row>
    <row r="63" spans="1:4" x14ac:dyDescent="0.25">
      <c r="A63" s="537" t="s">
        <v>59</v>
      </c>
      <c r="B63" s="82">
        <v>41046073</v>
      </c>
      <c r="C63" s="82"/>
      <c r="D63" s="82">
        <v>41046073</v>
      </c>
    </row>
    <row r="64" spans="1:4" x14ac:dyDescent="0.25">
      <c r="A64" s="537" t="s">
        <v>271</v>
      </c>
      <c r="B64" s="82">
        <v>107888089.43478261</v>
      </c>
      <c r="C64" s="82"/>
      <c r="D64" s="82">
        <v>107888089.43478261</v>
      </c>
    </row>
    <row r="65" spans="1:4" x14ac:dyDescent="0.25">
      <c r="A65" s="537" t="s">
        <v>170</v>
      </c>
      <c r="B65" s="82">
        <v>25000000</v>
      </c>
      <c r="C65" s="82"/>
      <c r="D65" s="82">
        <v>25000000</v>
      </c>
    </row>
    <row r="66" spans="1:4" x14ac:dyDescent="0.25">
      <c r="A66" s="537" t="s">
        <v>287</v>
      </c>
      <c r="B66" s="82">
        <v>358508493</v>
      </c>
      <c r="C66" s="82"/>
      <c r="D66" s="82">
        <v>358508493</v>
      </c>
    </row>
    <row r="67" spans="1:4" x14ac:dyDescent="0.25">
      <c r="A67" s="537" t="s">
        <v>198</v>
      </c>
      <c r="B67" s="82">
        <v>152182192</v>
      </c>
      <c r="C67" s="82"/>
      <c r="D67" s="82">
        <v>152182192</v>
      </c>
    </row>
    <row r="68" spans="1:4" x14ac:dyDescent="0.25">
      <c r="A68" s="38" t="s">
        <v>951</v>
      </c>
      <c r="B68" s="82">
        <v>128664216</v>
      </c>
      <c r="C68" s="82">
        <v>56365813</v>
      </c>
      <c r="D68" s="82">
        <v>185030029</v>
      </c>
    </row>
    <row r="69" spans="1:4" x14ac:dyDescent="0.25">
      <c r="A69" s="537" t="s">
        <v>105</v>
      </c>
      <c r="B69" s="82">
        <v>128664216</v>
      </c>
      <c r="C69" s="82">
        <v>56365813</v>
      </c>
      <c r="D69" s="82">
        <v>185030029</v>
      </c>
    </row>
    <row r="70" spans="1:4" x14ac:dyDescent="0.25">
      <c r="A70" s="38" t="s">
        <v>17</v>
      </c>
      <c r="B70" s="82">
        <v>5000829172.8047829</v>
      </c>
      <c r="C70" s="82">
        <v>250699999.87272727</v>
      </c>
      <c r="D70" s="82">
        <v>5251529172.6775103</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7B36F-44A5-4E4F-B045-8F70C64DA2A7}">
  <dimension ref="A1:AN333"/>
  <sheetViews>
    <sheetView topLeftCell="A311" workbookViewId="0">
      <selection activeCell="F333" sqref="F333"/>
    </sheetView>
  </sheetViews>
  <sheetFormatPr baseColWidth="10" defaultColWidth="0" defaultRowHeight="15" x14ac:dyDescent="0.25"/>
  <cols>
    <col min="1" max="1" width="39.42578125" style="10" customWidth="1"/>
    <col min="2" max="2" width="41.28515625" style="38" customWidth="1"/>
    <col min="3" max="3" width="46.42578125" style="38" customWidth="1"/>
    <col min="4" max="4" width="49.42578125" style="38" customWidth="1"/>
    <col min="5" max="5" width="81.7109375" customWidth="1"/>
    <col min="6" max="6" width="135.28515625" customWidth="1"/>
    <col min="7" max="7" width="19" hidden="1"/>
    <col min="8" max="8" width="22.7109375" hidden="1"/>
    <col min="9" max="9" width="23.42578125" hidden="1"/>
    <col min="10" max="10" width="15.42578125" hidden="1"/>
    <col min="11" max="11" width="57.140625" hidden="1"/>
    <col min="12" max="12" width="15.42578125" customWidth="1"/>
    <col min="13" max="13" width="21.140625" style="65" customWidth="1"/>
    <col min="14" max="14" width="27.42578125" style="65" customWidth="1"/>
    <col min="15" max="15" width="59.42578125" style="65" customWidth="1"/>
    <col min="16" max="16" width="21.140625" style="65" customWidth="1"/>
    <col min="17" max="17" width="21.140625" style="532" customWidth="1"/>
    <col min="18" max="18" width="29.42578125" customWidth="1"/>
    <col min="19" max="19" width="27.28515625" style="38" customWidth="1"/>
    <col min="20" max="20" width="20.42578125" customWidth="1"/>
    <col min="21" max="21" width="21.28515625" customWidth="1"/>
    <col min="22" max="22" width="22.140625" bestFit="1" customWidth="1"/>
    <col min="23" max="23" width="27.28515625" bestFit="1" customWidth="1"/>
    <col min="24" max="24" width="46.140625" customWidth="1"/>
    <col min="25" max="25" width="26.28515625" style="10" bestFit="1" customWidth="1"/>
    <col min="26" max="27" width="51" customWidth="1"/>
    <col min="28" max="28" width="50" customWidth="1"/>
    <col min="29" max="29" width="30.42578125" customWidth="1"/>
    <col min="30" max="30" width="20.140625" customWidth="1"/>
    <col min="31" max="31" width="17.85546875" customWidth="1"/>
    <col min="32" max="32" width="14.42578125" bestFit="1" customWidth="1"/>
    <col min="33" max="33" width="14.28515625" customWidth="1"/>
    <col min="34" max="34" width="14.42578125" customWidth="1"/>
    <col min="35" max="40" width="0" hidden="1" customWidth="1"/>
    <col min="41" max="16384" width="10.7109375" hidden="1"/>
  </cols>
  <sheetData>
    <row r="1" spans="1:34" ht="104.1" customHeight="1" x14ac:dyDescent="0.25">
      <c r="A1" s="282"/>
      <c r="B1" s="313" t="s">
        <v>18</v>
      </c>
      <c r="C1" s="313"/>
      <c r="D1" s="176" t="s">
        <v>19</v>
      </c>
      <c r="J1" s="1"/>
      <c r="K1" s="2"/>
      <c r="L1" s="2"/>
      <c r="M1" s="63">
        <f>SUM(M160:M171)</f>
        <v>0</v>
      </c>
      <c r="N1" s="63"/>
      <c r="O1" s="63"/>
      <c r="P1" s="63"/>
      <c r="Q1" s="63"/>
      <c r="R1" s="2"/>
      <c r="T1" s="2"/>
      <c r="U1" s="2"/>
      <c r="V1" s="2"/>
      <c r="W1" s="2"/>
      <c r="X1" s="2"/>
      <c r="Z1" s="2"/>
      <c r="AA1" s="2"/>
    </row>
    <row r="2" spans="1:34" ht="89.1" customHeight="1" x14ac:dyDescent="0.25">
      <c r="A2" s="283" t="s">
        <v>22</v>
      </c>
      <c r="B2" s="314" t="s">
        <v>23</v>
      </c>
      <c r="C2" s="314" t="s">
        <v>758</v>
      </c>
      <c r="D2" s="291" t="s">
        <v>25</v>
      </c>
      <c r="E2" s="72" t="s">
        <v>26</v>
      </c>
      <c r="F2" s="3" t="s">
        <v>27</v>
      </c>
      <c r="G2" s="3" t="s">
        <v>28</v>
      </c>
      <c r="H2" s="3" t="s">
        <v>29</v>
      </c>
      <c r="I2" s="3" t="s">
        <v>30</v>
      </c>
      <c r="J2" s="3" t="s">
        <v>31</v>
      </c>
      <c r="K2" s="3" t="s">
        <v>32</v>
      </c>
      <c r="L2" s="3" t="s">
        <v>33</v>
      </c>
      <c r="M2" s="64" t="s">
        <v>717</v>
      </c>
      <c r="N2" s="506" t="s">
        <v>37</v>
      </c>
      <c r="O2" s="506" t="s">
        <v>952</v>
      </c>
      <c r="P2" s="506" t="s">
        <v>35</v>
      </c>
      <c r="Q2" s="506" t="s">
        <v>36</v>
      </c>
      <c r="R2" s="17" t="s">
        <v>486</v>
      </c>
      <c r="S2" s="149" t="s">
        <v>48</v>
      </c>
      <c r="T2" s="3" t="s">
        <v>40</v>
      </c>
      <c r="U2" s="12" t="s">
        <v>41</v>
      </c>
      <c r="V2" s="3" t="s">
        <v>42</v>
      </c>
      <c r="W2" s="3" t="s">
        <v>43</v>
      </c>
      <c r="X2" s="12" t="s">
        <v>44</v>
      </c>
      <c r="Y2" s="153" t="s">
        <v>45</v>
      </c>
      <c r="Z2" s="3" t="s">
        <v>46</v>
      </c>
      <c r="AA2" s="3" t="s">
        <v>47</v>
      </c>
      <c r="AB2" s="14" t="s">
        <v>487</v>
      </c>
      <c r="AC2" s="35" t="s">
        <v>171</v>
      </c>
      <c r="AD2" s="35" t="s">
        <v>118</v>
      </c>
      <c r="AE2" s="35" t="s">
        <v>94</v>
      </c>
      <c r="AF2" s="35" t="s">
        <v>953</v>
      </c>
      <c r="AG2" s="35" t="s">
        <v>954</v>
      </c>
      <c r="AH2" s="35" t="s">
        <v>955</v>
      </c>
    </row>
    <row r="3" spans="1:34" s="118" customFormat="1" ht="24.95" customHeight="1" x14ac:dyDescent="0.25">
      <c r="A3" s="101">
        <v>90121603</v>
      </c>
      <c r="B3" s="110" t="s">
        <v>58</v>
      </c>
      <c r="C3" s="110" t="s">
        <v>117</v>
      </c>
      <c r="D3" s="110" t="s">
        <v>60</v>
      </c>
      <c r="E3" s="87" t="s">
        <v>118</v>
      </c>
      <c r="F3" s="87" t="s">
        <v>119</v>
      </c>
      <c r="G3" s="87">
        <v>1</v>
      </c>
      <c r="H3" s="87">
        <v>1</v>
      </c>
      <c r="I3" s="87">
        <v>9</v>
      </c>
      <c r="J3" s="87">
        <v>15</v>
      </c>
      <c r="K3" s="87" t="s">
        <v>83</v>
      </c>
      <c r="L3" s="87" t="s">
        <v>3</v>
      </c>
      <c r="M3" s="698">
        <v>50000000</v>
      </c>
      <c r="N3" s="698" t="s">
        <v>864</v>
      </c>
      <c r="O3" s="697" t="s">
        <v>9</v>
      </c>
      <c r="P3" s="696">
        <v>201891000290</v>
      </c>
      <c r="Q3" s="698" t="s">
        <v>949</v>
      </c>
      <c r="R3" s="718">
        <v>58632734</v>
      </c>
      <c r="S3" s="697" t="s">
        <v>67</v>
      </c>
      <c r="T3" s="87" t="s">
        <v>66</v>
      </c>
      <c r="U3" s="32">
        <v>0</v>
      </c>
      <c r="V3" s="87" t="s">
        <v>67</v>
      </c>
      <c r="W3" s="87" t="s">
        <v>68</v>
      </c>
      <c r="X3" s="87" t="s">
        <v>121</v>
      </c>
      <c r="Y3" s="101" t="s">
        <v>956</v>
      </c>
      <c r="Z3" s="106" t="s">
        <v>957</v>
      </c>
      <c r="AA3" s="87" t="s">
        <v>123</v>
      </c>
      <c r="AB3" s="117" t="s">
        <v>958</v>
      </c>
      <c r="AC3" s="162"/>
      <c r="AD3" s="87"/>
      <c r="AE3" s="87"/>
      <c r="AF3" s="87"/>
      <c r="AG3" s="87"/>
      <c r="AH3" s="87"/>
    </row>
    <row r="4" spans="1:34" ht="24.95" customHeight="1" x14ac:dyDescent="0.25">
      <c r="A4" s="493">
        <v>86101700</v>
      </c>
      <c r="B4" s="494" t="s">
        <v>58</v>
      </c>
      <c r="C4" s="494" t="s">
        <v>117</v>
      </c>
      <c r="D4" s="494" t="s">
        <v>60</v>
      </c>
      <c r="E4" s="495" t="s">
        <v>118</v>
      </c>
      <c r="F4" s="495" t="s">
        <v>126</v>
      </c>
      <c r="G4" s="495">
        <v>2</v>
      </c>
      <c r="H4" s="495">
        <v>2</v>
      </c>
      <c r="I4" s="495">
        <v>8</v>
      </c>
      <c r="J4" s="495">
        <v>15</v>
      </c>
      <c r="K4" s="495" t="s">
        <v>83</v>
      </c>
      <c r="L4" s="495" t="s">
        <v>3</v>
      </c>
      <c r="M4" s="492">
        <f>21438913-3430225-1208688</f>
        <v>16800000</v>
      </c>
      <c r="N4" s="698" t="s">
        <v>864</v>
      </c>
      <c r="O4" s="697" t="s">
        <v>9</v>
      </c>
      <c r="P4" s="696">
        <v>201891000290</v>
      </c>
      <c r="Q4" s="698" t="s">
        <v>949</v>
      </c>
      <c r="R4" s="718">
        <v>22510859</v>
      </c>
      <c r="S4" s="497" t="s">
        <v>67</v>
      </c>
      <c r="T4" s="495" t="s">
        <v>66</v>
      </c>
      <c r="U4" s="492">
        <v>0</v>
      </c>
      <c r="V4" s="498" t="s">
        <v>67</v>
      </c>
      <c r="W4" s="495" t="s">
        <v>68</v>
      </c>
      <c r="X4" s="495" t="s">
        <v>121</v>
      </c>
      <c r="Y4" s="493" t="s">
        <v>956</v>
      </c>
      <c r="Z4" s="499" t="s">
        <v>957</v>
      </c>
      <c r="AA4" s="495" t="s">
        <v>127</v>
      </c>
      <c r="AB4" s="117" t="s">
        <v>959</v>
      </c>
      <c r="AC4" s="162"/>
      <c r="AD4" s="87"/>
      <c r="AE4" s="87"/>
      <c r="AF4" s="87"/>
      <c r="AG4" s="87"/>
      <c r="AH4" s="87"/>
    </row>
    <row r="5" spans="1:34" ht="24.95" customHeight="1" x14ac:dyDescent="0.25">
      <c r="A5" s="101">
        <v>86101600</v>
      </c>
      <c r="B5" s="110" t="s">
        <v>58</v>
      </c>
      <c r="C5" s="110" t="s">
        <v>117</v>
      </c>
      <c r="D5" s="110" t="s">
        <v>60</v>
      </c>
      <c r="E5" s="87" t="s">
        <v>118</v>
      </c>
      <c r="F5" s="87" t="s">
        <v>128</v>
      </c>
      <c r="G5" s="87">
        <v>2</v>
      </c>
      <c r="H5" s="87">
        <v>2</v>
      </c>
      <c r="I5" s="87">
        <v>10</v>
      </c>
      <c r="J5" s="87">
        <v>0</v>
      </c>
      <c r="K5" s="87" t="s">
        <v>83</v>
      </c>
      <c r="L5" s="87" t="s">
        <v>3</v>
      </c>
      <c r="M5" s="32">
        <f>38988089+1208686</f>
        <v>40196775</v>
      </c>
      <c r="N5" s="698" t="s">
        <v>864</v>
      </c>
      <c r="O5" s="697" t="s">
        <v>9</v>
      </c>
      <c r="P5" s="696">
        <v>201891000290</v>
      </c>
      <c r="Q5" s="698" t="s">
        <v>949</v>
      </c>
      <c r="R5" s="718">
        <v>40937494</v>
      </c>
      <c r="S5" s="89" t="s">
        <v>67</v>
      </c>
      <c r="T5" s="87" t="s">
        <v>66</v>
      </c>
      <c r="U5" s="32">
        <v>0</v>
      </c>
      <c r="V5" s="105" t="s">
        <v>67</v>
      </c>
      <c r="W5" s="87" t="s">
        <v>68</v>
      </c>
      <c r="X5" s="87" t="s">
        <v>121</v>
      </c>
      <c r="Y5" s="101" t="s">
        <v>956</v>
      </c>
      <c r="Z5" s="106" t="s">
        <v>957</v>
      </c>
      <c r="AA5" s="87" t="s">
        <v>129</v>
      </c>
      <c r="AB5" s="117" t="s">
        <v>67</v>
      </c>
      <c r="AC5" s="162"/>
      <c r="AD5" s="87"/>
      <c r="AE5" s="87"/>
      <c r="AF5" s="87"/>
      <c r="AG5" s="87"/>
      <c r="AH5" s="87"/>
    </row>
    <row r="6" spans="1:34" ht="24.95" customHeight="1" x14ac:dyDescent="0.25">
      <c r="A6" s="101">
        <v>86141501</v>
      </c>
      <c r="B6" s="110" t="s">
        <v>58</v>
      </c>
      <c r="C6" s="110" t="s">
        <v>117</v>
      </c>
      <c r="D6" s="110" t="s">
        <v>60</v>
      </c>
      <c r="E6" s="87" t="s">
        <v>118</v>
      </c>
      <c r="F6" s="87" t="s">
        <v>960</v>
      </c>
      <c r="G6" s="87">
        <v>1</v>
      </c>
      <c r="H6" s="87">
        <v>1</v>
      </c>
      <c r="I6" s="87">
        <v>11</v>
      </c>
      <c r="J6" s="87">
        <v>15</v>
      </c>
      <c r="K6" s="87" t="s">
        <v>83</v>
      </c>
      <c r="L6" s="87" t="s">
        <v>3</v>
      </c>
      <c r="M6" s="698">
        <f>57500000-7500000</f>
        <v>50000000</v>
      </c>
      <c r="N6" s="698" t="s">
        <v>864</v>
      </c>
      <c r="O6" s="697" t="s">
        <v>9</v>
      </c>
      <c r="P6" s="696">
        <v>201891000290</v>
      </c>
      <c r="Q6" s="698" t="s">
        <v>949</v>
      </c>
      <c r="R6" s="698">
        <v>57500000</v>
      </c>
      <c r="S6" s="697" t="s">
        <v>67</v>
      </c>
      <c r="T6" s="87" t="s">
        <v>66</v>
      </c>
      <c r="U6" s="32">
        <v>0</v>
      </c>
      <c r="V6" s="87" t="s">
        <v>67</v>
      </c>
      <c r="W6" s="87" t="s">
        <v>68</v>
      </c>
      <c r="X6" s="87" t="s">
        <v>121</v>
      </c>
      <c r="Y6" s="101" t="s">
        <v>956</v>
      </c>
      <c r="Z6" s="106" t="s">
        <v>957</v>
      </c>
      <c r="AA6" s="87" t="s">
        <v>961</v>
      </c>
      <c r="AB6" s="117" t="s">
        <v>67</v>
      </c>
      <c r="AC6" s="162"/>
      <c r="AD6" s="87"/>
      <c r="AE6" s="87"/>
      <c r="AF6" s="87"/>
      <c r="AG6" s="87"/>
      <c r="AH6" s="87"/>
    </row>
    <row r="7" spans="1:34" ht="24.95" customHeight="1" x14ac:dyDescent="0.25">
      <c r="A7" s="26">
        <v>86101700</v>
      </c>
      <c r="B7" s="36" t="s">
        <v>58</v>
      </c>
      <c r="C7" s="36" t="s">
        <v>117</v>
      </c>
      <c r="D7" s="36" t="s">
        <v>60</v>
      </c>
      <c r="E7" s="21" t="s">
        <v>118</v>
      </c>
      <c r="F7" s="21" t="s">
        <v>131</v>
      </c>
      <c r="G7" s="21">
        <v>1</v>
      </c>
      <c r="H7" s="21">
        <v>1</v>
      </c>
      <c r="I7" s="21">
        <v>10</v>
      </c>
      <c r="J7" s="21">
        <v>0</v>
      </c>
      <c r="K7" s="21" t="s">
        <v>83</v>
      </c>
      <c r="L7" s="21" t="s">
        <v>3</v>
      </c>
      <c r="M7" s="687">
        <v>46785690</v>
      </c>
      <c r="N7" s="687" t="s">
        <v>864</v>
      </c>
      <c r="O7" s="686" t="s">
        <v>9</v>
      </c>
      <c r="P7" s="685">
        <v>201891000290</v>
      </c>
      <c r="Q7" s="687" t="s">
        <v>949</v>
      </c>
      <c r="R7" s="718">
        <v>46785690</v>
      </c>
      <c r="S7" s="686" t="s">
        <v>67</v>
      </c>
      <c r="T7" s="21" t="s">
        <v>66</v>
      </c>
      <c r="U7" s="23">
        <v>0</v>
      </c>
      <c r="V7" s="21" t="s">
        <v>67</v>
      </c>
      <c r="W7" s="21" t="s">
        <v>68</v>
      </c>
      <c r="X7" s="21" t="s">
        <v>121</v>
      </c>
      <c r="Y7" s="26" t="s">
        <v>956</v>
      </c>
      <c r="Z7" s="52" t="s">
        <v>957</v>
      </c>
      <c r="AA7" s="21" t="s">
        <v>132</v>
      </c>
      <c r="AB7" s="13" t="s">
        <v>67</v>
      </c>
      <c r="AC7" s="163"/>
      <c r="AD7" s="21"/>
      <c r="AE7" s="21"/>
      <c r="AF7" s="21"/>
      <c r="AG7" s="21"/>
      <c r="AH7" s="21"/>
    </row>
    <row r="8" spans="1:34" ht="24.95" customHeight="1" x14ac:dyDescent="0.25">
      <c r="A8" s="181">
        <v>86101600</v>
      </c>
      <c r="B8" s="293" t="s">
        <v>58</v>
      </c>
      <c r="C8" s="293" t="s">
        <v>117</v>
      </c>
      <c r="D8" s="293" t="s">
        <v>60</v>
      </c>
      <c r="E8" s="177" t="s">
        <v>118</v>
      </c>
      <c r="F8" s="177" t="s">
        <v>962</v>
      </c>
      <c r="G8" s="177">
        <v>4</v>
      </c>
      <c r="H8" s="177">
        <v>4</v>
      </c>
      <c r="I8" s="496">
        <v>4</v>
      </c>
      <c r="J8" s="177">
        <v>0</v>
      </c>
      <c r="K8" s="177" t="s">
        <v>83</v>
      </c>
      <c r="L8" s="177" t="s">
        <v>3</v>
      </c>
      <c r="M8" s="178">
        <v>3240000</v>
      </c>
      <c r="N8" s="687" t="s">
        <v>864</v>
      </c>
      <c r="O8" s="686" t="s">
        <v>9</v>
      </c>
      <c r="P8" s="685">
        <v>201891000290</v>
      </c>
      <c r="Q8" s="687" t="s">
        <v>949</v>
      </c>
      <c r="R8" s="179">
        <v>3240000</v>
      </c>
      <c r="S8" s="184" t="s">
        <v>67</v>
      </c>
      <c r="T8" s="177" t="s">
        <v>66</v>
      </c>
      <c r="U8" s="178">
        <v>0</v>
      </c>
      <c r="V8" s="180" t="s">
        <v>67</v>
      </c>
      <c r="W8" s="177" t="s">
        <v>68</v>
      </c>
      <c r="X8" s="177" t="s">
        <v>121</v>
      </c>
      <c r="Y8" s="181" t="s">
        <v>956</v>
      </c>
      <c r="Z8" s="182" t="s">
        <v>957</v>
      </c>
      <c r="AA8" s="177" t="s">
        <v>134</v>
      </c>
      <c r="AB8" s="13" t="s">
        <v>67</v>
      </c>
      <c r="AC8" s="163"/>
      <c r="AD8" s="21"/>
      <c r="AE8" s="21"/>
      <c r="AF8" s="21"/>
      <c r="AG8" s="21"/>
      <c r="AH8" s="21"/>
    </row>
    <row r="9" spans="1:34" s="118" customFormat="1" ht="24.95" customHeight="1" x14ac:dyDescent="0.25">
      <c r="A9" s="26">
        <v>86101600</v>
      </c>
      <c r="B9" s="36" t="s">
        <v>58</v>
      </c>
      <c r="C9" s="36" t="s">
        <v>117</v>
      </c>
      <c r="D9" s="36" t="s">
        <v>60</v>
      </c>
      <c r="E9" s="21" t="s">
        <v>118</v>
      </c>
      <c r="F9" s="21" t="s">
        <v>963</v>
      </c>
      <c r="G9" s="21">
        <v>4</v>
      </c>
      <c r="H9" s="21">
        <v>4</v>
      </c>
      <c r="I9" s="15">
        <v>4</v>
      </c>
      <c r="J9" s="21">
        <v>0</v>
      </c>
      <c r="K9" s="21" t="s">
        <v>83</v>
      </c>
      <c r="L9" s="21" t="s">
        <v>3</v>
      </c>
      <c r="M9" s="23">
        <v>3240000</v>
      </c>
      <c r="N9" s="687" t="s">
        <v>864</v>
      </c>
      <c r="O9" s="686" t="s">
        <v>9</v>
      </c>
      <c r="P9" s="685">
        <v>201891000290</v>
      </c>
      <c r="Q9" s="687" t="s">
        <v>949</v>
      </c>
      <c r="R9" s="45">
        <v>3240000</v>
      </c>
      <c r="S9" s="86" t="s">
        <v>67</v>
      </c>
      <c r="T9" s="21" t="s">
        <v>66</v>
      </c>
      <c r="U9" s="23">
        <v>0</v>
      </c>
      <c r="V9" s="53" t="s">
        <v>67</v>
      </c>
      <c r="W9" s="21" t="s">
        <v>68</v>
      </c>
      <c r="X9" s="21" t="s">
        <v>121</v>
      </c>
      <c r="Y9" s="26" t="s">
        <v>956</v>
      </c>
      <c r="Z9" s="52" t="s">
        <v>957</v>
      </c>
      <c r="AA9" s="21" t="s">
        <v>134</v>
      </c>
      <c r="AB9" s="13" t="s">
        <v>67</v>
      </c>
      <c r="AC9" s="163"/>
      <c r="AD9" s="21"/>
      <c r="AE9" s="21"/>
      <c r="AF9" s="21"/>
      <c r="AG9" s="21"/>
      <c r="AH9" s="21"/>
    </row>
    <row r="10" spans="1:34" s="118" customFormat="1" ht="24.95" customHeight="1" x14ac:dyDescent="0.25">
      <c r="A10" s="26">
        <v>86101600</v>
      </c>
      <c r="B10" s="36" t="s">
        <v>58</v>
      </c>
      <c r="C10" s="36" t="s">
        <v>117</v>
      </c>
      <c r="D10" s="36" t="s">
        <v>60</v>
      </c>
      <c r="E10" s="21" t="s">
        <v>118</v>
      </c>
      <c r="F10" s="21" t="s">
        <v>964</v>
      </c>
      <c r="G10" s="21">
        <v>4</v>
      </c>
      <c r="H10" s="21">
        <v>4</v>
      </c>
      <c r="I10" s="15">
        <v>4</v>
      </c>
      <c r="J10" s="21">
        <v>0</v>
      </c>
      <c r="K10" s="21" t="s">
        <v>83</v>
      </c>
      <c r="L10" s="21" t="s">
        <v>3</v>
      </c>
      <c r="M10" s="23">
        <v>3240000</v>
      </c>
      <c r="N10" s="687" t="s">
        <v>864</v>
      </c>
      <c r="O10" s="686" t="s">
        <v>9</v>
      </c>
      <c r="P10" s="685">
        <v>201891000290</v>
      </c>
      <c r="Q10" s="687" t="s">
        <v>949</v>
      </c>
      <c r="R10" s="45">
        <v>3240000</v>
      </c>
      <c r="S10" s="86" t="s">
        <v>67</v>
      </c>
      <c r="T10" s="21" t="s">
        <v>66</v>
      </c>
      <c r="U10" s="23">
        <v>0</v>
      </c>
      <c r="V10" s="53" t="s">
        <v>67</v>
      </c>
      <c r="W10" s="21" t="s">
        <v>68</v>
      </c>
      <c r="X10" s="21" t="s">
        <v>121</v>
      </c>
      <c r="Y10" s="26" t="s">
        <v>956</v>
      </c>
      <c r="Z10" s="52" t="s">
        <v>957</v>
      </c>
      <c r="AA10" s="21" t="s">
        <v>134</v>
      </c>
      <c r="AB10" s="13" t="s">
        <v>67</v>
      </c>
      <c r="AC10" s="163"/>
      <c r="AD10" s="21"/>
      <c r="AE10" s="21"/>
      <c r="AF10" s="21"/>
      <c r="AG10" s="21"/>
      <c r="AH10" s="21"/>
    </row>
    <row r="11" spans="1:34" ht="24.95" customHeight="1" x14ac:dyDescent="0.25">
      <c r="A11" s="216">
        <v>86101600</v>
      </c>
      <c r="B11" s="292" t="s">
        <v>58</v>
      </c>
      <c r="C11" s="292" t="s">
        <v>117</v>
      </c>
      <c r="D11" s="292" t="s">
        <v>60</v>
      </c>
      <c r="E11" s="214" t="s">
        <v>118</v>
      </c>
      <c r="F11" s="214" t="s">
        <v>965</v>
      </c>
      <c r="G11" s="214">
        <v>4</v>
      </c>
      <c r="H11" s="214">
        <v>4</v>
      </c>
      <c r="I11" s="218">
        <v>4</v>
      </c>
      <c r="J11" s="214">
        <v>0</v>
      </c>
      <c r="K11" s="214" t="s">
        <v>83</v>
      </c>
      <c r="L11" s="214" t="s">
        <v>3</v>
      </c>
      <c r="M11" s="215">
        <v>3240000</v>
      </c>
      <c r="N11" s="687" t="s">
        <v>864</v>
      </c>
      <c r="O11" s="686" t="s">
        <v>9</v>
      </c>
      <c r="P11" s="685">
        <v>201891000290</v>
      </c>
      <c r="Q11" s="687" t="s">
        <v>949</v>
      </c>
      <c r="R11" s="219">
        <v>3240000</v>
      </c>
      <c r="S11" s="220" t="s">
        <v>67</v>
      </c>
      <c r="T11" s="214" t="s">
        <v>66</v>
      </c>
      <c r="U11" s="215">
        <v>0</v>
      </c>
      <c r="V11" s="221" t="s">
        <v>67</v>
      </c>
      <c r="W11" s="214" t="s">
        <v>68</v>
      </c>
      <c r="X11" s="214" t="s">
        <v>121</v>
      </c>
      <c r="Y11" s="216" t="s">
        <v>956</v>
      </c>
      <c r="Z11" s="217" t="s">
        <v>957</v>
      </c>
      <c r="AA11" s="214" t="s">
        <v>134</v>
      </c>
      <c r="AB11" s="13" t="s">
        <v>67</v>
      </c>
      <c r="AC11" s="163"/>
      <c r="AD11" s="21"/>
      <c r="AE11" s="21"/>
      <c r="AF11" s="21"/>
      <c r="AG11" s="21"/>
      <c r="AH11" s="21"/>
    </row>
    <row r="12" spans="1:34" ht="24.95" customHeight="1" x14ac:dyDescent="0.25">
      <c r="A12" s="26">
        <v>86101600</v>
      </c>
      <c r="B12" s="36" t="s">
        <v>58</v>
      </c>
      <c r="C12" s="36" t="s">
        <v>117</v>
      </c>
      <c r="D12" s="36" t="s">
        <v>60</v>
      </c>
      <c r="E12" s="21" t="s">
        <v>118</v>
      </c>
      <c r="F12" s="21" t="s">
        <v>966</v>
      </c>
      <c r="G12" s="21">
        <v>4</v>
      </c>
      <c r="H12" s="21">
        <v>4</v>
      </c>
      <c r="I12" s="15">
        <v>4</v>
      </c>
      <c r="J12" s="21">
        <v>0</v>
      </c>
      <c r="K12" s="21" t="s">
        <v>83</v>
      </c>
      <c r="L12" s="21" t="s">
        <v>3</v>
      </c>
      <c r="M12" s="23">
        <v>3240000</v>
      </c>
      <c r="N12" s="687" t="s">
        <v>864</v>
      </c>
      <c r="O12" s="686" t="s">
        <v>9</v>
      </c>
      <c r="P12" s="685">
        <v>201891000290</v>
      </c>
      <c r="Q12" s="687" t="s">
        <v>949</v>
      </c>
      <c r="R12" s="45">
        <v>3240000</v>
      </c>
      <c r="S12" s="86" t="s">
        <v>67</v>
      </c>
      <c r="T12" s="21" t="s">
        <v>66</v>
      </c>
      <c r="U12" s="23">
        <v>0</v>
      </c>
      <c r="V12" s="53" t="s">
        <v>67</v>
      </c>
      <c r="W12" s="21" t="s">
        <v>68</v>
      </c>
      <c r="X12" s="21" t="s">
        <v>121</v>
      </c>
      <c r="Y12" s="26" t="s">
        <v>956</v>
      </c>
      <c r="Z12" s="52" t="s">
        <v>957</v>
      </c>
      <c r="AA12" s="21" t="s">
        <v>134</v>
      </c>
      <c r="AB12" s="13" t="s">
        <v>67</v>
      </c>
      <c r="AC12" s="163"/>
      <c r="AD12" s="21"/>
      <c r="AE12" s="21"/>
      <c r="AF12" s="21"/>
      <c r="AG12" s="21"/>
      <c r="AH12" s="21"/>
    </row>
    <row r="13" spans="1:34" ht="24.95" customHeight="1" x14ac:dyDescent="0.25">
      <c r="A13" s="26">
        <v>86101600</v>
      </c>
      <c r="B13" s="36" t="s">
        <v>58</v>
      </c>
      <c r="C13" s="36" t="s">
        <v>117</v>
      </c>
      <c r="D13" s="36" t="s">
        <v>60</v>
      </c>
      <c r="E13" s="21" t="s">
        <v>118</v>
      </c>
      <c r="F13" s="21" t="s">
        <v>967</v>
      </c>
      <c r="G13" s="21">
        <v>4</v>
      </c>
      <c r="H13" s="21">
        <v>4</v>
      </c>
      <c r="I13" s="15">
        <v>4</v>
      </c>
      <c r="J13" s="21">
        <v>0</v>
      </c>
      <c r="K13" s="21" t="s">
        <v>83</v>
      </c>
      <c r="L13" s="21" t="s">
        <v>3</v>
      </c>
      <c r="M13" s="23">
        <v>3240000</v>
      </c>
      <c r="N13" s="687" t="s">
        <v>864</v>
      </c>
      <c r="O13" s="686" t="s">
        <v>9</v>
      </c>
      <c r="P13" s="685">
        <v>201891000290</v>
      </c>
      <c r="Q13" s="687" t="s">
        <v>949</v>
      </c>
      <c r="R13" s="45">
        <v>3240000</v>
      </c>
      <c r="S13" s="86" t="s">
        <v>67</v>
      </c>
      <c r="T13" s="21" t="s">
        <v>66</v>
      </c>
      <c r="U13" s="23">
        <v>0</v>
      </c>
      <c r="V13" s="53" t="s">
        <v>67</v>
      </c>
      <c r="W13" s="21" t="s">
        <v>68</v>
      </c>
      <c r="X13" s="21" t="s">
        <v>121</v>
      </c>
      <c r="Y13" s="26" t="s">
        <v>956</v>
      </c>
      <c r="Z13" s="52" t="s">
        <v>957</v>
      </c>
      <c r="AA13" s="21" t="s">
        <v>134</v>
      </c>
      <c r="AB13" s="13" t="s">
        <v>67</v>
      </c>
      <c r="AC13" s="163"/>
      <c r="AD13" s="21"/>
      <c r="AE13" s="21"/>
      <c r="AF13" s="21"/>
      <c r="AG13" s="21"/>
      <c r="AH13" s="21"/>
    </row>
    <row r="14" spans="1:34" ht="24.95" customHeight="1" x14ac:dyDescent="0.25">
      <c r="A14" s="26">
        <v>86101600</v>
      </c>
      <c r="B14" s="36" t="s">
        <v>58</v>
      </c>
      <c r="C14" s="36" t="s">
        <v>117</v>
      </c>
      <c r="D14" s="36" t="s">
        <v>60</v>
      </c>
      <c r="E14" s="21" t="s">
        <v>118</v>
      </c>
      <c r="F14" s="21" t="s">
        <v>968</v>
      </c>
      <c r="G14" s="21">
        <v>4</v>
      </c>
      <c r="H14" s="21">
        <v>4</v>
      </c>
      <c r="I14" s="15">
        <v>4</v>
      </c>
      <c r="J14" s="21">
        <v>0</v>
      </c>
      <c r="K14" s="21" t="s">
        <v>83</v>
      </c>
      <c r="L14" s="21" t="s">
        <v>3</v>
      </c>
      <c r="M14" s="23">
        <v>3240000</v>
      </c>
      <c r="N14" s="687" t="s">
        <v>864</v>
      </c>
      <c r="O14" s="686" t="s">
        <v>9</v>
      </c>
      <c r="P14" s="685">
        <v>201891000290</v>
      </c>
      <c r="Q14" s="687" t="s">
        <v>949</v>
      </c>
      <c r="R14" s="45">
        <v>3240000</v>
      </c>
      <c r="S14" s="86" t="s">
        <v>67</v>
      </c>
      <c r="T14" s="21" t="s">
        <v>66</v>
      </c>
      <c r="U14" s="23">
        <v>0</v>
      </c>
      <c r="V14" s="53" t="s">
        <v>67</v>
      </c>
      <c r="W14" s="21" t="s">
        <v>68</v>
      </c>
      <c r="X14" s="21" t="s">
        <v>121</v>
      </c>
      <c r="Y14" s="26" t="s">
        <v>956</v>
      </c>
      <c r="Z14" s="52" t="s">
        <v>957</v>
      </c>
      <c r="AA14" s="21" t="s">
        <v>134</v>
      </c>
      <c r="AB14" s="13" t="s">
        <v>67</v>
      </c>
      <c r="AC14" s="163"/>
      <c r="AD14" s="21"/>
      <c r="AE14" s="21"/>
      <c r="AF14" s="21"/>
      <c r="AG14" s="21"/>
      <c r="AH14" s="21"/>
    </row>
    <row r="15" spans="1:34" ht="24.95" customHeight="1" x14ac:dyDescent="0.25">
      <c r="A15" s="26">
        <v>86101600</v>
      </c>
      <c r="B15" s="36" t="s">
        <v>58</v>
      </c>
      <c r="C15" s="36" t="s">
        <v>117</v>
      </c>
      <c r="D15" s="36" t="s">
        <v>60</v>
      </c>
      <c r="E15" s="21" t="s">
        <v>118</v>
      </c>
      <c r="F15" s="21" t="s">
        <v>969</v>
      </c>
      <c r="G15" s="21">
        <v>4</v>
      </c>
      <c r="H15" s="21">
        <v>4</v>
      </c>
      <c r="I15" s="15">
        <v>4</v>
      </c>
      <c r="J15" s="21">
        <v>0</v>
      </c>
      <c r="K15" s="21" t="s">
        <v>83</v>
      </c>
      <c r="L15" s="21" t="s">
        <v>3</v>
      </c>
      <c r="M15" s="23">
        <v>3240000</v>
      </c>
      <c r="N15" s="687" t="s">
        <v>864</v>
      </c>
      <c r="O15" s="686" t="s">
        <v>9</v>
      </c>
      <c r="P15" s="685">
        <v>201891000290</v>
      </c>
      <c r="Q15" s="687" t="s">
        <v>949</v>
      </c>
      <c r="R15" s="45">
        <v>3240000</v>
      </c>
      <c r="S15" s="86" t="s">
        <v>67</v>
      </c>
      <c r="T15" s="21" t="s">
        <v>66</v>
      </c>
      <c r="U15" s="23">
        <v>0</v>
      </c>
      <c r="V15" s="53" t="s">
        <v>67</v>
      </c>
      <c r="W15" s="21" t="s">
        <v>68</v>
      </c>
      <c r="X15" s="21" t="s">
        <v>121</v>
      </c>
      <c r="Y15" s="26" t="s">
        <v>956</v>
      </c>
      <c r="Z15" s="52" t="s">
        <v>957</v>
      </c>
      <c r="AA15" s="21" t="s">
        <v>134</v>
      </c>
      <c r="AB15" s="13" t="s">
        <v>67</v>
      </c>
      <c r="AC15" s="163"/>
      <c r="AD15" s="21"/>
      <c r="AE15" s="21"/>
      <c r="AF15" s="21"/>
      <c r="AG15" s="21"/>
      <c r="AH15" s="21"/>
    </row>
    <row r="16" spans="1:34" ht="24.95" customHeight="1" x14ac:dyDescent="0.25">
      <c r="A16" s="26">
        <v>86101600</v>
      </c>
      <c r="B16" s="36" t="s">
        <v>58</v>
      </c>
      <c r="C16" s="36" t="s">
        <v>117</v>
      </c>
      <c r="D16" s="36" t="s">
        <v>60</v>
      </c>
      <c r="E16" s="21" t="s">
        <v>118</v>
      </c>
      <c r="F16" s="21" t="s">
        <v>970</v>
      </c>
      <c r="G16" s="21">
        <v>4</v>
      </c>
      <c r="H16" s="21">
        <v>4</v>
      </c>
      <c r="I16" s="15">
        <v>4</v>
      </c>
      <c r="J16" s="21">
        <v>0</v>
      </c>
      <c r="K16" s="21" t="s">
        <v>83</v>
      </c>
      <c r="L16" s="21" t="s">
        <v>3</v>
      </c>
      <c r="M16" s="23">
        <v>3240000</v>
      </c>
      <c r="N16" s="687" t="s">
        <v>864</v>
      </c>
      <c r="O16" s="686" t="s">
        <v>9</v>
      </c>
      <c r="P16" s="685">
        <v>201891000290</v>
      </c>
      <c r="Q16" s="687" t="s">
        <v>949</v>
      </c>
      <c r="R16" s="45">
        <v>3240000</v>
      </c>
      <c r="S16" s="86" t="s">
        <v>67</v>
      </c>
      <c r="T16" s="21" t="s">
        <v>66</v>
      </c>
      <c r="U16" s="23">
        <v>0</v>
      </c>
      <c r="V16" s="53" t="s">
        <v>67</v>
      </c>
      <c r="W16" s="21" t="s">
        <v>68</v>
      </c>
      <c r="X16" s="21" t="s">
        <v>121</v>
      </c>
      <c r="Y16" s="26" t="s">
        <v>956</v>
      </c>
      <c r="Z16" s="52" t="s">
        <v>957</v>
      </c>
      <c r="AA16" s="21" t="s">
        <v>134</v>
      </c>
      <c r="AB16" s="13" t="s">
        <v>67</v>
      </c>
      <c r="AC16" s="163"/>
      <c r="AD16" s="21"/>
      <c r="AE16" s="21"/>
      <c r="AF16" s="21"/>
      <c r="AG16" s="21"/>
      <c r="AH16" s="21"/>
    </row>
    <row r="17" spans="1:34" ht="24.95" customHeight="1" x14ac:dyDescent="0.25">
      <c r="A17" s="26">
        <v>86101600</v>
      </c>
      <c r="B17" s="36" t="s">
        <v>58</v>
      </c>
      <c r="C17" s="36" t="s">
        <v>117</v>
      </c>
      <c r="D17" s="36" t="s">
        <v>60</v>
      </c>
      <c r="E17" s="21" t="s">
        <v>118</v>
      </c>
      <c r="F17" s="21" t="s">
        <v>971</v>
      </c>
      <c r="G17" s="21">
        <v>4</v>
      </c>
      <c r="H17" s="21">
        <v>4</v>
      </c>
      <c r="I17" s="15">
        <v>4</v>
      </c>
      <c r="J17" s="21">
        <v>0</v>
      </c>
      <c r="K17" s="21" t="s">
        <v>83</v>
      </c>
      <c r="L17" s="21" t="s">
        <v>3</v>
      </c>
      <c r="M17" s="23">
        <v>3240000</v>
      </c>
      <c r="N17" s="687" t="s">
        <v>864</v>
      </c>
      <c r="O17" s="686" t="s">
        <v>9</v>
      </c>
      <c r="P17" s="685">
        <v>201891000290</v>
      </c>
      <c r="Q17" s="687" t="s">
        <v>949</v>
      </c>
      <c r="R17" s="45">
        <v>3240000</v>
      </c>
      <c r="S17" s="86" t="s">
        <v>67</v>
      </c>
      <c r="T17" s="21" t="s">
        <v>66</v>
      </c>
      <c r="U17" s="23">
        <v>0</v>
      </c>
      <c r="V17" s="53" t="s">
        <v>67</v>
      </c>
      <c r="W17" s="21" t="s">
        <v>68</v>
      </c>
      <c r="X17" s="21" t="s">
        <v>121</v>
      </c>
      <c r="Y17" s="26" t="s">
        <v>956</v>
      </c>
      <c r="Z17" s="52" t="s">
        <v>957</v>
      </c>
      <c r="AA17" s="21" t="s">
        <v>134</v>
      </c>
      <c r="AB17" s="13" t="s">
        <v>67</v>
      </c>
      <c r="AC17" s="163"/>
      <c r="AD17" s="21"/>
      <c r="AE17" s="21"/>
      <c r="AF17" s="21"/>
      <c r="AG17" s="21"/>
      <c r="AH17" s="21"/>
    </row>
    <row r="18" spans="1:34" ht="24.95" customHeight="1" x14ac:dyDescent="0.25">
      <c r="A18" s="26">
        <v>86101600</v>
      </c>
      <c r="B18" s="36" t="s">
        <v>58</v>
      </c>
      <c r="C18" s="36" t="s">
        <v>117</v>
      </c>
      <c r="D18" s="36" t="s">
        <v>60</v>
      </c>
      <c r="E18" s="21" t="s">
        <v>118</v>
      </c>
      <c r="F18" s="21" t="s">
        <v>144</v>
      </c>
      <c r="G18" s="21">
        <v>2</v>
      </c>
      <c r="H18" s="21">
        <v>2</v>
      </c>
      <c r="I18" s="15">
        <v>4</v>
      </c>
      <c r="J18" s="21">
        <v>0</v>
      </c>
      <c r="K18" s="21" t="s">
        <v>83</v>
      </c>
      <c r="L18" s="21" t="s">
        <v>3</v>
      </c>
      <c r="M18" s="23">
        <f>6461520/2</f>
        <v>3230760</v>
      </c>
      <c r="N18" s="687" t="s">
        <v>864</v>
      </c>
      <c r="O18" s="686" t="s">
        <v>9</v>
      </c>
      <c r="P18" s="685">
        <v>201891000290</v>
      </c>
      <c r="Q18" s="687" t="s">
        <v>949</v>
      </c>
      <c r="R18" s="45">
        <v>6461520</v>
      </c>
      <c r="S18" s="86" t="s">
        <v>67</v>
      </c>
      <c r="T18" s="21" t="s">
        <v>66</v>
      </c>
      <c r="U18" s="23">
        <v>0</v>
      </c>
      <c r="V18" s="53" t="s">
        <v>67</v>
      </c>
      <c r="W18" s="21" t="s">
        <v>68</v>
      </c>
      <c r="X18" s="21" t="s">
        <v>121</v>
      </c>
      <c r="Y18" s="26" t="s">
        <v>956</v>
      </c>
      <c r="Z18" s="52" t="s">
        <v>957</v>
      </c>
      <c r="AA18" s="21" t="s">
        <v>145</v>
      </c>
      <c r="AB18" s="13" t="s">
        <v>67</v>
      </c>
      <c r="AC18" s="163"/>
      <c r="AD18" s="21"/>
      <c r="AE18" s="21"/>
      <c r="AF18" s="21"/>
      <c r="AG18" s="21"/>
      <c r="AH18" s="21"/>
    </row>
    <row r="19" spans="1:34" ht="24.95" customHeight="1" x14ac:dyDescent="0.25">
      <c r="A19" s="26">
        <v>86101601</v>
      </c>
      <c r="B19" s="36" t="s">
        <v>58</v>
      </c>
      <c r="C19" s="36" t="s">
        <v>117</v>
      </c>
      <c r="D19" s="36" t="s">
        <v>60</v>
      </c>
      <c r="E19" s="21" t="s">
        <v>118</v>
      </c>
      <c r="F19" s="21" t="s">
        <v>144</v>
      </c>
      <c r="G19" s="21">
        <v>2</v>
      </c>
      <c r="H19" s="21">
        <v>2</v>
      </c>
      <c r="I19" s="21">
        <v>4</v>
      </c>
      <c r="J19" s="21">
        <v>0</v>
      </c>
      <c r="K19" s="21" t="s">
        <v>83</v>
      </c>
      <c r="L19" s="21" t="s">
        <v>3</v>
      </c>
      <c r="M19" s="23">
        <v>6461520</v>
      </c>
      <c r="N19" s="687" t="s">
        <v>864</v>
      </c>
      <c r="O19" s="686" t="s">
        <v>9</v>
      </c>
      <c r="P19" s="685">
        <v>201891000290</v>
      </c>
      <c r="Q19" s="687" t="s">
        <v>949</v>
      </c>
      <c r="R19" s="45">
        <v>6461520</v>
      </c>
      <c r="S19" s="86" t="s">
        <v>67</v>
      </c>
      <c r="T19" s="21" t="s">
        <v>66</v>
      </c>
      <c r="U19" s="23">
        <v>0</v>
      </c>
      <c r="V19" s="53" t="s">
        <v>67</v>
      </c>
      <c r="W19" s="21" t="s">
        <v>68</v>
      </c>
      <c r="X19" s="21" t="s">
        <v>121</v>
      </c>
      <c r="Y19" s="26" t="s">
        <v>956</v>
      </c>
      <c r="Z19" s="52" t="s">
        <v>957</v>
      </c>
      <c r="AA19" s="21" t="s">
        <v>146</v>
      </c>
      <c r="AB19" s="13" t="s">
        <v>67</v>
      </c>
      <c r="AC19" s="163"/>
      <c r="AD19" s="21"/>
      <c r="AE19" s="21"/>
      <c r="AF19" s="21"/>
      <c r="AG19" s="21"/>
      <c r="AH19" s="21"/>
    </row>
    <row r="20" spans="1:34" ht="24.95" customHeight="1" x14ac:dyDescent="0.25">
      <c r="A20" s="26">
        <v>86101600</v>
      </c>
      <c r="B20" s="36" t="s">
        <v>58</v>
      </c>
      <c r="C20" s="36" t="s">
        <v>117</v>
      </c>
      <c r="D20" s="36" t="s">
        <v>60</v>
      </c>
      <c r="E20" s="21" t="s">
        <v>118</v>
      </c>
      <c r="F20" s="21" t="s">
        <v>972</v>
      </c>
      <c r="G20" s="21">
        <v>1</v>
      </c>
      <c r="H20" s="21">
        <v>8</v>
      </c>
      <c r="I20" s="15">
        <v>4</v>
      </c>
      <c r="J20" s="21">
        <v>0</v>
      </c>
      <c r="K20" s="21" t="s">
        <v>83</v>
      </c>
      <c r="L20" s="21" t="s">
        <v>3</v>
      </c>
      <c r="M20" s="501">
        <v>1350000</v>
      </c>
      <c r="N20" s="687" t="s">
        <v>864</v>
      </c>
      <c r="O20" s="686" t="s">
        <v>9</v>
      </c>
      <c r="P20" s="685">
        <v>201891000290</v>
      </c>
      <c r="Q20" s="687" t="s">
        <v>949</v>
      </c>
      <c r="R20" s="23">
        <v>1350000</v>
      </c>
      <c r="S20" s="86" t="s">
        <v>67</v>
      </c>
      <c r="T20" s="21" t="s">
        <v>66</v>
      </c>
      <c r="U20" s="23">
        <v>0</v>
      </c>
      <c r="V20" s="53" t="s">
        <v>67</v>
      </c>
      <c r="W20" s="21" t="s">
        <v>68</v>
      </c>
      <c r="X20" s="21" t="s">
        <v>121</v>
      </c>
      <c r="Y20" s="26" t="s">
        <v>956</v>
      </c>
      <c r="Z20" s="500" t="s">
        <v>957</v>
      </c>
      <c r="AA20" s="21" t="s">
        <v>134</v>
      </c>
      <c r="AB20" s="13" t="s">
        <v>67</v>
      </c>
      <c r="AC20" s="163"/>
      <c r="AD20" s="21"/>
      <c r="AE20" s="21"/>
      <c r="AF20" s="21"/>
      <c r="AG20" s="21"/>
      <c r="AH20" s="21"/>
    </row>
    <row r="21" spans="1:34" ht="24.95" customHeight="1" x14ac:dyDescent="0.25">
      <c r="A21" s="26">
        <v>86101600</v>
      </c>
      <c r="B21" s="36" t="s">
        <v>58</v>
      </c>
      <c r="C21" s="36" t="s">
        <v>117</v>
      </c>
      <c r="D21" s="36" t="s">
        <v>60</v>
      </c>
      <c r="E21" s="21" t="s">
        <v>118</v>
      </c>
      <c r="F21" s="21" t="s">
        <v>973</v>
      </c>
      <c r="G21" s="21">
        <v>1</v>
      </c>
      <c r="H21" s="21">
        <v>8</v>
      </c>
      <c r="I21" s="15">
        <v>4</v>
      </c>
      <c r="J21" s="21">
        <v>0</v>
      </c>
      <c r="K21" s="21" t="s">
        <v>83</v>
      </c>
      <c r="L21" s="21" t="s">
        <v>3</v>
      </c>
      <c r="M21" s="501">
        <v>1620000</v>
      </c>
      <c r="N21" s="687" t="s">
        <v>864</v>
      </c>
      <c r="O21" s="686" t="s">
        <v>9</v>
      </c>
      <c r="P21" s="685">
        <v>201891000290</v>
      </c>
      <c r="Q21" s="687" t="s">
        <v>949</v>
      </c>
      <c r="R21" s="23">
        <v>1620000</v>
      </c>
      <c r="S21" s="86" t="s">
        <v>67</v>
      </c>
      <c r="T21" s="21" t="s">
        <v>66</v>
      </c>
      <c r="U21" s="23">
        <v>0</v>
      </c>
      <c r="V21" s="53" t="s">
        <v>67</v>
      </c>
      <c r="W21" s="21" t="s">
        <v>68</v>
      </c>
      <c r="X21" s="21" t="s">
        <v>121</v>
      </c>
      <c r="Y21" s="26" t="s">
        <v>956</v>
      </c>
      <c r="Z21" s="500" t="s">
        <v>957</v>
      </c>
      <c r="AA21" s="21" t="s">
        <v>134</v>
      </c>
      <c r="AB21" s="13" t="s">
        <v>67</v>
      </c>
      <c r="AC21" s="163"/>
      <c r="AD21" s="21"/>
      <c r="AE21" s="21"/>
      <c r="AF21" s="21"/>
      <c r="AG21" s="21"/>
      <c r="AH21" s="21"/>
    </row>
    <row r="22" spans="1:34" ht="24.95" customHeight="1" x14ac:dyDescent="0.25">
      <c r="A22" s="128">
        <v>86101600</v>
      </c>
      <c r="B22" s="294" t="s">
        <v>58</v>
      </c>
      <c r="C22" s="294" t="s">
        <v>117</v>
      </c>
      <c r="D22" s="294" t="s">
        <v>60</v>
      </c>
      <c r="E22" s="69" t="s">
        <v>118</v>
      </c>
      <c r="F22" s="69" t="s">
        <v>974</v>
      </c>
      <c r="G22" s="69">
        <v>8</v>
      </c>
      <c r="H22" s="69">
        <v>8</v>
      </c>
      <c r="I22" s="69">
        <v>4</v>
      </c>
      <c r="J22" s="69">
        <v>0</v>
      </c>
      <c r="K22" s="69" t="s">
        <v>83</v>
      </c>
      <c r="L22" s="115" t="s">
        <v>67</v>
      </c>
      <c r="M22" s="115">
        <f>8400000-8400000</f>
        <v>0</v>
      </c>
      <c r="N22" s="115" t="s">
        <v>67</v>
      </c>
      <c r="O22" s="115"/>
      <c r="P22" s="115"/>
      <c r="Q22" s="514"/>
      <c r="R22" s="119">
        <v>8400000</v>
      </c>
      <c r="S22" s="143" t="s">
        <v>67</v>
      </c>
      <c r="T22" s="69" t="s">
        <v>66</v>
      </c>
      <c r="U22" s="119">
        <v>0</v>
      </c>
      <c r="V22" s="120" t="s">
        <v>67</v>
      </c>
      <c r="W22" s="69" t="s">
        <v>68</v>
      </c>
      <c r="X22" s="69" t="s">
        <v>121</v>
      </c>
      <c r="Y22" s="128" t="s">
        <v>956</v>
      </c>
      <c r="Z22" s="121" t="s">
        <v>957</v>
      </c>
      <c r="AA22" s="69" t="s">
        <v>134</v>
      </c>
      <c r="AB22" s="70" t="s">
        <v>67</v>
      </c>
      <c r="AC22" s="164"/>
      <c r="AD22" s="69"/>
      <c r="AE22" s="69"/>
      <c r="AF22" s="69"/>
      <c r="AG22" s="69"/>
      <c r="AH22" s="69"/>
    </row>
    <row r="23" spans="1:34" s="122" customFormat="1" ht="24.95" customHeight="1" x14ac:dyDescent="0.25">
      <c r="A23" s="128">
        <v>86101600</v>
      </c>
      <c r="B23" s="294" t="s">
        <v>58</v>
      </c>
      <c r="C23" s="294" t="s">
        <v>117</v>
      </c>
      <c r="D23" s="294" t="s">
        <v>60</v>
      </c>
      <c r="E23" s="69" t="s">
        <v>118</v>
      </c>
      <c r="F23" s="69" t="s">
        <v>975</v>
      </c>
      <c r="G23" s="69">
        <v>8</v>
      </c>
      <c r="H23" s="69">
        <v>8</v>
      </c>
      <c r="I23" s="69">
        <v>4</v>
      </c>
      <c r="J23" s="69">
        <v>0</v>
      </c>
      <c r="K23" s="69" t="s">
        <v>83</v>
      </c>
      <c r="L23" s="115" t="s">
        <v>67</v>
      </c>
      <c r="M23" s="115">
        <f>6988800-6988800</f>
        <v>0</v>
      </c>
      <c r="N23" s="115"/>
      <c r="O23" s="115"/>
      <c r="P23" s="115"/>
      <c r="Q23" s="514"/>
      <c r="R23" s="119">
        <v>6240000</v>
      </c>
      <c r="S23" s="143" t="s">
        <v>67</v>
      </c>
      <c r="T23" s="69" t="s">
        <v>66</v>
      </c>
      <c r="U23" s="119">
        <v>0</v>
      </c>
      <c r="V23" s="69" t="s">
        <v>67</v>
      </c>
      <c r="W23" s="69" t="s">
        <v>68</v>
      </c>
      <c r="X23" s="69" t="s">
        <v>121</v>
      </c>
      <c r="Y23" s="128" t="s">
        <v>956</v>
      </c>
      <c r="Z23" s="121" t="s">
        <v>957</v>
      </c>
      <c r="AA23" s="69" t="s">
        <v>134</v>
      </c>
      <c r="AB23" s="70" t="s">
        <v>67</v>
      </c>
      <c r="AC23" s="164"/>
      <c r="AD23" s="69"/>
      <c r="AE23" s="69"/>
      <c r="AF23" s="69"/>
      <c r="AG23" s="69"/>
      <c r="AH23" s="69"/>
    </row>
    <row r="24" spans="1:34" s="122" customFormat="1" ht="24.95" customHeight="1" x14ac:dyDescent="0.25">
      <c r="A24" s="128">
        <v>86101600</v>
      </c>
      <c r="B24" s="294" t="s">
        <v>58</v>
      </c>
      <c r="C24" s="294" t="s">
        <v>117</v>
      </c>
      <c r="D24" s="294" t="s">
        <v>60</v>
      </c>
      <c r="E24" s="69" t="s">
        <v>118</v>
      </c>
      <c r="F24" s="69" t="s">
        <v>976</v>
      </c>
      <c r="G24" s="69">
        <v>8</v>
      </c>
      <c r="H24" s="69">
        <v>8</v>
      </c>
      <c r="I24" s="69">
        <v>4</v>
      </c>
      <c r="J24" s="69">
        <v>0</v>
      </c>
      <c r="K24" s="69" t="s">
        <v>83</v>
      </c>
      <c r="L24" s="115" t="s">
        <v>67</v>
      </c>
      <c r="M24" s="115">
        <f>3852800-3852800</f>
        <v>0</v>
      </c>
      <c r="N24" s="115"/>
      <c r="O24" s="115"/>
      <c r="P24" s="115"/>
      <c r="Q24" s="514"/>
      <c r="R24" s="119">
        <v>3440000</v>
      </c>
      <c r="S24" s="143" t="s">
        <v>67</v>
      </c>
      <c r="T24" s="69" t="s">
        <v>66</v>
      </c>
      <c r="U24" s="119">
        <v>0</v>
      </c>
      <c r="V24" s="69" t="s">
        <v>67</v>
      </c>
      <c r="W24" s="69" t="s">
        <v>68</v>
      </c>
      <c r="X24" s="69" t="s">
        <v>121</v>
      </c>
      <c r="Y24" s="128" t="s">
        <v>956</v>
      </c>
      <c r="Z24" s="121" t="s">
        <v>957</v>
      </c>
      <c r="AA24" s="69" t="s">
        <v>134</v>
      </c>
      <c r="AB24" s="70" t="s">
        <v>67</v>
      </c>
      <c r="AC24" s="164"/>
      <c r="AD24" s="69"/>
      <c r="AE24" s="69"/>
      <c r="AF24" s="69"/>
      <c r="AG24" s="69"/>
      <c r="AH24" s="69"/>
    </row>
    <row r="25" spans="1:34" s="122" customFormat="1" ht="24.95" customHeight="1" x14ac:dyDescent="0.25">
      <c r="A25" s="128">
        <v>86101600</v>
      </c>
      <c r="B25" s="294" t="s">
        <v>58</v>
      </c>
      <c r="C25" s="294" t="s">
        <v>117</v>
      </c>
      <c r="D25" s="294" t="s">
        <v>60</v>
      </c>
      <c r="E25" s="69" t="s">
        <v>118</v>
      </c>
      <c r="F25" s="69" t="s">
        <v>977</v>
      </c>
      <c r="G25" s="69">
        <v>8</v>
      </c>
      <c r="H25" s="69">
        <v>8</v>
      </c>
      <c r="I25" s="69">
        <v>4</v>
      </c>
      <c r="J25" s="69">
        <v>0</v>
      </c>
      <c r="K25" s="69" t="s">
        <v>83</v>
      </c>
      <c r="L25" s="115" t="s">
        <v>67</v>
      </c>
      <c r="M25" s="115">
        <f>9587200-9587200</f>
        <v>0</v>
      </c>
      <c r="N25" s="115"/>
      <c r="O25" s="115"/>
      <c r="P25" s="115"/>
      <c r="Q25" s="514"/>
      <c r="R25" s="119">
        <v>8560000</v>
      </c>
      <c r="S25" s="143" t="s">
        <v>67</v>
      </c>
      <c r="T25" s="69" t="s">
        <v>66</v>
      </c>
      <c r="U25" s="119">
        <v>0</v>
      </c>
      <c r="V25" s="120" t="s">
        <v>67</v>
      </c>
      <c r="W25" s="69" t="s">
        <v>68</v>
      </c>
      <c r="X25" s="69" t="s">
        <v>121</v>
      </c>
      <c r="Y25" s="128" t="s">
        <v>956</v>
      </c>
      <c r="Z25" s="121" t="s">
        <v>957</v>
      </c>
      <c r="AA25" s="69" t="s">
        <v>134</v>
      </c>
      <c r="AB25" s="70" t="s">
        <v>67</v>
      </c>
      <c r="AC25" s="164"/>
      <c r="AD25" s="69"/>
      <c r="AE25" s="69"/>
      <c r="AF25" s="69"/>
      <c r="AG25" s="69"/>
      <c r="AH25" s="69"/>
    </row>
    <row r="26" spans="1:34" s="122" customFormat="1" ht="24.95" customHeight="1" x14ac:dyDescent="0.25">
      <c r="A26" s="128">
        <v>86101600</v>
      </c>
      <c r="B26" s="294" t="s">
        <v>58</v>
      </c>
      <c r="C26" s="294" t="s">
        <v>117</v>
      </c>
      <c r="D26" s="294" t="s">
        <v>60</v>
      </c>
      <c r="E26" s="69" t="s">
        <v>118</v>
      </c>
      <c r="F26" s="69" t="s">
        <v>978</v>
      </c>
      <c r="G26" s="69">
        <v>7</v>
      </c>
      <c r="H26" s="69">
        <v>7</v>
      </c>
      <c r="I26" s="69">
        <v>4</v>
      </c>
      <c r="J26" s="69">
        <v>0</v>
      </c>
      <c r="K26" s="69" t="s">
        <v>83</v>
      </c>
      <c r="L26" s="115" t="s">
        <v>67</v>
      </c>
      <c r="M26" s="115">
        <f>3600000-3600000</f>
        <v>0</v>
      </c>
      <c r="N26" s="115"/>
      <c r="O26" s="115"/>
      <c r="P26" s="115"/>
      <c r="Q26" s="514"/>
      <c r="R26" s="119">
        <v>3600000</v>
      </c>
      <c r="S26" s="143" t="s">
        <v>67</v>
      </c>
      <c r="T26" s="69" t="s">
        <v>66</v>
      </c>
      <c r="U26" s="119">
        <v>0</v>
      </c>
      <c r="V26" s="120" t="s">
        <v>67</v>
      </c>
      <c r="W26" s="69" t="s">
        <v>68</v>
      </c>
      <c r="X26" s="69" t="s">
        <v>121</v>
      </c>
      <c r="Y26" s="128" t="s">
        <v>956</v>
      </c>
      <c r="Z26" s="121" t="s">
        <v>957</v>
      </c>
      <c r="AA26" s="69" t="s">
        <v>134</v>
      </c>
      <c r="AB26" s="70" t="s">
        <v>67</v>
      </c>
      <c r="AC26" s="164"/>
      <c r="AD26" s="69"/>
      <c r="AE26" s="69"/>
      <c r="AF26" s="69"/>
      <c r="AG26" s="69"/>
      <c r="AH26" s="69"/>
    </row>
    <row r="27" spans="1:34" s="122" customFormat="1" ht="24.95" customHeight="1" x14ac:dyDescent="0.25">
      <c r="A27" s="128">
        <v>86101600</v>
      </c>
      <c r="B27" s="294" t="s">
        <v>58</v>
      </c>
      <c r="C27" s="294" t="s">
        <v>117</v>
      </c>
      <c r="D27" s="294" t="s">
        <v>60</v>
      </c>
      <c r="E27" s="69" t="s">
        <v>118</v>
      </c>
      <c r="F27" s="69" t="s">
        <v>979</v>
      </c>
      <c r="G27" s="69">
        <v>8</v>
      </c>
      <c r="H27" s="69">
        <v>8</v>
      </c>
      <c r="I27" s="69">
        <v>0</v>
      </c>
      <c r="J27" s="69">
        <v>0</v>
      </c>
      <c r="K27" s="69" t="s">
        <v>83</v>
      </c>
      <c r="L27" s="115" t="s">
        <v>67</v>
      </c>
      <c r="M27" s="115">
        <f>4541964-4541964</f>
        <v>0</v>
      </c>
      <c r="N27" s="115"/>
      <c r="O27" s="115"/>
      <c r="P27" s="115"/>
      <c r="Q27" s="514"/>
      <c r="R27" s="119">
        <v>4541964</v>
      </c>
      <c r="S27" s="143" t="s">
        <v>980</v>
      </c>
      <c r="T27" s="69" t="s">
        <v>66</v>
      </c>
      <c r="U27" s="119">
        <v>0</v>
      </c>
      <c r="V27" s="120" t="s">
        <v>67</v>
      </c>
      <c r="W27" s="69" t="s">
        <v>68</v>
      </c>
      <c r="X27" s="69" t="s">
        <v>121</v>
      </c>
      <c r="Y27" s="128" t="s">
        <v>956</v>
      </c>
      <c r="Z27" s="121" t="s">
        <v>957</v>
      </c>
      <c r="AA27" s="69" t="s">
        <v>981</v>
      </c>
      <c r="AB27" s="70" t="s">
        <v>67</v>
      </c>
      <c r="AC27" s="164"/>
      <c r="AD27" s="69"/>
      <c r="AE27" s="69"/>
      <c r="AF27" s="69"/>
      <c r="AG27" s="69"/>
      <c r="AH27" s="69"/>
    </row>
    <row r="28" spans="1:34" s="122" customFormat="1" ht="24.95" customHeight="1" x14ac:dyDescent="0.25">
      <c r="A28" s="128">
        <v>86101600</v>
      </c>
      <c r="B28" s="294" t="s">
        <v>58</v>
      </c>
      <c r="C28" s="294" t="s">
        <v>117</v>
      </c>
      <c r="D28" s="294" t="s">
        <v>60</v>
      </c>
      <c r="E28" s="69" t="s">
        <v>118</v>
      </c>
      <c r="F28" s="69" t="s">
        <v>982</v>
      </c>
      <c r="G28" s="69">
        <v>8</v>
      </c>
      <c r="H28" s="69">
        <v>8</v>
      </c>
      <c r="I28" s="69">
        <v>0</v>
      </c>
      <c r="J28" s="69">
        <v>0</v>
      </c>
      <c r="K28" s="69" t="s">
        <v>83</v>
      </c>
      <c r="L28" s="115" t="s">
        <v>67</v>
      </c>
      <c r="M28" s="115">
        <f>4469869-4469869</f>
        <v>0</v>
      </c>
      <c r="N28" s="115"/>
      <c r="O28" s="115"/>
      <c r="P28" s="115"/>
      <c r="Q28" s="514"/>
      <c r="R28" s="119">
        <v>4469869</v>
      </c>
      <c r="S28" s="143" t="s">
        <v>980</v>
      </c>
      <c r="T28" s="69" t="s">
        <v>66</v>
      </c>
      <c r="U28" s="119">
        <v>0</v>
      </c>
      <c r="V28" s="120" t="s">
        <v>67</v>
      </c>
      <c r="W28" s="69" t="s">
        <v>68</v>
      </c>
      <c r="X28" s="69" t="s">
        <v>121</v>
      </c>
      <c r="Y28" s="128" t="s">
        <v>956</v>
      </c>
      <c r="Z28" s="121" t="s">
        <v>957</v>
      </c>
      <c r="AA28" s="69" t="s">
        <v>983</v>
      </c>
      <c r="AB28" s="70" t="s">
        <v>67</v>
      </c>
      <c r="AC28" s="164"/>
      <c r="AD28" s="69"/>
      <c r="AE28" s="69"/>
      <c r="AF28" s="69"/>
      <c r="AG28" s="69"/>
      <c r="AH28" s="69"/>
    </row>
    <row r="29" spans="1:34" s="122" customFormat="1" ht="24.95" customHeight="1" x14ac:dyDescent="0.25">
      <c r="A29" s="128">
        <v>86101600</v>
      </c>
      <c r="B29" s="294" t="s">
        <v>58</v>
      </c>
      <c r="C29" s="294" t="s">
        <v>117</v>
      </c>
      <c r="D29" s="294" t="s">
        <v>60</v>
      </c>
      <c r="E29" s="69" t="s">
        <v>118</v>
      </c>
      <c r="F29" s="69" t="s">
        <v>984</v>
      </c>
      <c r="G29" s="69">
        <v>8</v>
      </c>
      <c r="H29" s="69">
        <v>8</v>
      </c>
      <c r="I29" s="69">
        <v>0</v>
      </c>
      <c r="J29" s="69">
        <v>0</v>
      </c>
      <c r="K29" s="69" t="s">
        <v>83</v>
      </c>
      <c r="L29" s="115" t="s">
        <v>67</v>
      </c>
      <c r="M29" s="115">
        <f>4469869-4469869</f>
        <v>0</v>
      </c>
      <c r="N29" s="115"/>
      <c r="O29" s="115"/>
      <c r="P29" s="115"/>
      <c r="Q29" s="514"/>
      <c r="R29" s="119">
        <v>4469869</v>
      </c>
      <c r="S29" s="143" t="s">
        <v>980</v>
      </c>
      <c r="T29" s="69" t="s">
        <v>66</v>
      </c>
      <c r="U29" s="119">
        <v>0</v>
      </c>
      <c r="V29" s="120" t="s">
        <v>67</v>
      </c>
      <c r="W29" s="69" t="s">
        <v>68</v>
      </c>
      <c r="X29" s="69" t="s">
        <v>121</v>
      </c>
      <c r="Y29" s="128" t="s">
        <v>956</v>
      </c>
      <c r="Z29" s="121" t="s">
        <v>957</v>
      </c>
      <c r="AA29" s="69" t="s">
        <v>985</v>
      </c>
      <c r="AB29" s="70" t="s">
        <v>67</v>
      </c>
      <c r="AC29" s="164"/>
      <c r="AD29" s="69"/>
      <c r="AE29" s="69"/>
      <c r="AF29" s="69"/>
      <c r="AG29" s="69"/>
      <c r="AH29" s="69"/>
    </row>
    <row r="30" spans="1:34" s="122" customFormat="1" ht="24.95" customHeight="1" x14ac:dyDescent="0.25">
      <c r="A30" s="128">
        <v>86101600</v>
      </c>
      <c r="B30" s="294" t="s">
        <v>58</v>
      </c>
      <c r="C30" s="294" t="s">
        <v>117</v>
      </c>
      <c r="D30" s="294" t="s">
        <v>60</v>
      </c>
      <c r="E30" s="69" t="s">
        <v>118</v>
      </c>
      <c r="F30" s="69" t="s">
        <v>986</v>
      </c>
      <c r="G30" s="69">
        <v>8</v>
      </c>
      <c r="H30" s="69">
        <v>8</v>
      </c>
      <c r="I30" s="69">
        <v>0</v>
      </c>
      <c r="J30" s="69">
        <v>0</v>
      </c>
      <c r="K30" s="69" t="s">
        <v>83</v>
      </c>
      <c r="L30" s="115" t="s">
        <v>67</v>
      </c>
      <c r="M30" s="115">
        <f>4469869-4469869</f>
        <v>0</v>
      </c>
      <c r="N30" s="115"/>
      <c r="O30" s="115"/>
      <c r="P30" s="115"/>
      <c r="Q30" s="514"/>
      <c r="R30" s="119">
        <v>4469869</v>
      </c>
      <c r="S30" s="143" t="s">
        <v>980</v>
      </c>
      <c r="T30" s="69" t="s">
        <v>66</v>
      </c>
      <c r="U30" s="119">
        <v>0</v>
      </c>
      <c r="V30" s="120" t="s">
        <v>67</v>
      </c>
      <c r="W30" s="69" t="s">
        <v>68</v>
      </c>
      <c r="X30" s="69" t="s">
        <v>121</v>
      </c>
      <c r="Y30" s="128" t="s">
        <v>956</v>
      </c>
      <c r="Z30" s="121" t="s">
        <v>957</v>
      </c>
      <c r="AA30" s="69" t="s">
        <v>987</v>
      </c>
      <c r="AB30" s="70" t="s">
        <v>67</v>
      </c>
      <c r="AC30" s="164"/>
      <c r="AD30" s="69"/>
      <c r="AE30" s="69"/>
      <c r="AF30" s="69"/>
      <c r="AG30" s="69"/>
      <c r="AH30" s="69"/>
    </row>
    <row r="31" spans="1:34" s="122" customFormat="1" ht="24.95" customHeight="1" x14ac:dyDescent="0.25">
      <c r="A31" s="128">
        <v>86101600</v>
      </c>
      <c r="B31" s="294" t="s">
        <v>58</v>
      </c>
      <c r="C31" s="294" t="s">
        <v>117</v>
      </c>
      <c r="D31" s="294" t="s">
        <v>60</v>
      </c>
      <c r="E31" s="69" t="s">
        <v>118</v>
      </c>
      <c r="F31" s="69" t="s">
        <v>988</v>
      </c>
      <c r="G31" s="69">
        <v>8</v>
      </c>
      <c r="H31" s="69">
        <v>8</v>
      </c>
      <c r="I31" s="69">
        <v>0</v>
      </c>
      <c r="J31" s="69">
        <v>0</v>
      </c>
      <c r="K31" s="69" t="s">
        <v>83</v>
      </c>
      <c r="L31" s="115" t="s">
        <v>67</v>
      </c>
      <c r="M31" s="115">
        <f>2400000-2400000</f>
        <v>0</v>
      </c>
      <c r="N31" s="115"/>
      <c r="O31" s="115"/>
      <c r="P31" s="115"/>
      <c r="Q31" s="514"/>
      <c r="R31" s="119">
        <v>2400000</v>
      </c>
      <c r="S31" s="143" t="s">
        <v>980</v>
      </c>
      <c r="T31" s="69" t="s">
        <v>66</v>
      </c>
      <c r="U31" s="119">
        <v>0</v>
      </c>
      <c r="V31" s="120" t="s">
        <v>67</v>
      </c>
      <c r="W31" s="69" t="s">
        <v>68</v>
      </c>
      <c r="X31" s="69" t="s">
        <v>121</v>
      </c>
      <c r="Y31" s="128" t="s">
        <v>956</v>
      </c>
      <c r="Z31" s="121" t="s">
        <v>957</v>
      </c>
      <c r="AA31" s="69" t="s">
        <v>961</v>
      </c>
      <c r="AB31" s="70" t="s">
        <v>67</v>
      </c>
      <c r="AC31" s="164"/>
      <c r="AD31" s="69"/>
      <c r="AE31" s="69"/>
      <c r="AF31" s="69"/>
      <c r="AG31" s="69"/>
      <c r="AH31" s="69"/>
    </row>
    <row r="32" spans="1:34" s="122" customFormat="1" ht="24.95" customHeight="1" x14ac:dyDescent="0.25">
      <c r="A32" s="128">
        <v>86101600</v>
      </c>
      <c r="B32" s="294" t="s">
        <v>58</v>
      </c>
      <c r="C32" s="294" t="s">
        <v>117</v>
      </c>
      <c r="D32" s="294" t="s">
        <v>60</v>
      </c>
      <c r="E32" s="69" t="s">
        <v>118</v>
      </c>
      <c r="F32" s="69" t="s">
        <v>989</v>
      </c>
      <c r="G32" s="69">
        <v>8</v>
      </c>
      <c r="H32" s="69">
        <v>8</v>
      </c>
      <c r="I32" s="69">
        <v>0</v>
      </c>
      <c r="J32" s="69">
        <v>0</v>
      </c>
      <c r="K32" s="69" t="s">
        <v>83</v>
      </c>
      <c r="L32" s="115" t="s">
        <v>67</v>
      </c>
      <c r="M32" s="115">
        <f>4469869-4469869</f>
        <v>0</v>
      </c>
      <c r="N32" s="115"/>
      <c r="O32" s="115"/>
      <c r="P32" s="115"/>
      <c r="Q32" s="514"/>
      <c r="R32" s="119">
        <v>4469869</v>
      </c>
      <c r="S32" s="143" t="s">
        <v>980</v>
      </c>
      <c r="T32" s="69" t="s">
        <v>66</v>
      </c>
      <c r="U32" s="119">
        <v>0</v>
      </c>
      <c r="V32" s="120" t="s">
        <v>67</v>
      </c>
      <c r="W32" s="69" t="s">
        <v>68</v>
      </c>
      <c r="X32" s="69" t="s">
        <v>121</v>
      </c>
      <c r="Y32" s="128" t="s">
        <v>956</v>
      </c>
      <c r="Z32" s="121" t="s">
        <v>957</v>
      </c>
      <c r="AA32" s="69" t="s">
        <v>961</v>
      </c>
      <c r="AB32" s="70" t="s">
        <v>67</v>
      </c>
      <c r="AC32" s="164"/>
      <c r="AD32" s="69"/>
      <c r="AE32" s="69"/>
      <c r="AF32" s="69"/>
      <c r="AG32" s="69"/>
      <c r="AH32" s="69"/>
    </row>
    <row r="33" spans="1:34" s="122" customFormat="1" ht="24.95" customHeight="1" x14ac:dyDescent="0.25">
      <c r="A33" s="128">
        <v>86101600</v>
      </c>
      <c r="B33" s="294" t="s">
        <v>58</v>
      </c>
      <c r="C33" s="294" t="s">
        <v>117</v>
      </c>
      <c r="D33" s="294" t="s">
        <v>60</v>
      </c>
      <c r="E33" s="69" t="s">
        <v>118</v>
      </c>
      <c r="F33" s="69" t="s">
        <v>990</v>
      </c>
      <c r="G33" s="69">
        <v>8</v>
      </c>
      <c r="H33" s="69">
        <v>8</v>
      </c>
      <c r="I33" s="69">
        <v>0</v>
      </c>
      <c r="J33" s="69">
        <v>0</v>
      </c>
      <c r="K33" s="69" t="s">
        <v>83</v>
      </c>
      <c r="L33" s="115" t="s">
        <v>67</v>
      </c>
      <c r="M33" s="115">
        <f>4469869-4469869</f>
        <v>0</v>
      </c>
      <c r="N33" s="115"/>
      <c r="O33" s="115"/>
      <c r="P33" s="115"/>
      <c r="Q33" s="514"/>
      <c r="R33" s="119">
        <v>4469869</v>
      </c>
      <c r="S33" s="143" t="s">
        <v>980</v>
      </c>
      <c r="T33" s="69" t="s">
        <v>66</v>
      </c>
      <c r="U33" s="119">
        <v>0</v>
      </c>
      <c r="V33" s="120" t="s">
        <v>67</v>
      </c>
      <c r="W33" s="69" t="s">
        <v>68</v>
      </c>
      <c r="X33" s="69" t="s">
        <v>121</v>
      </c>
      <c r="Y33" s="128" t="s">
        <v>956</v>
      </c>
      <c r="Z33" s="121" t="s">
        <v>957</v>
      </c>
      <c r="AA33" s="69" t="s">
        <v>961</v>
      </c>
      <c r="AB33" s="70" t="s">
        <v>67</v>
      </c>
      <c r="AC33" s="164"/>
      <c r="AD33" s="69"/>
      <c r="AE33" s="69"/>
      <c r="AF33" s="69"/>
      <c r="AG33" s="69"/>
      <c r="AH33" s="69"/>
    </row>
    <row r="34" spans="1:34" s="122" customFormat="1" ht="24.95" customHeight="1" x14ac:dyDescent="0.25">
      <c r="A34" s="128">
        <v>86101600</v>
      </c>
      <c r="B34" s="294" t="s">
        <v>58</v>
      </c>
      <c r="C34" s="294" t="s">
        <v>117</v>
      </c>
      <c r="D34" s="294" t="s">
        <v>60</v>
      </c>
      <c r="E34" s="69" t="s">
        <v>118</v>
      </c>
      <c r="F34" s="69" t="s">
        <v>991</v>
      </c>
      <c r="G34" s="69">
        <v>8</v>
      </c>
      <c r="H34" s="69">
        <v>8</v>
      </c>
      <c r="I34" s="69">
        <v>0</v>
      </c>
      <c r="J34" s="69">
        <v>0</v>
      </c>
      <c r="K34" s="69" t="s">
        <v>83</v>
      </c>
      <c r="L34" s="115" t="s">
        <v>67</v>
      </c>
      <c r="M34" s="115">
        <f>4469869-4469869</f>
        <v>0</v>
      </c>
      <c r="N34" s="115"/>
      <c r="O34" s="115"/>
      <c r="P34" s="115"/>
      <c r="Q34" s="514"/>
      <c r="R34" s="119">
        <v>4469869</v>
      </c>
      <c r="S34" s="143" t="s">
        <v>980</v>
      </c>
      <c r="T34" s="69" t="s">
        <v>66</v>
      </c>
      <c r="U34" s="119">
        <v>0</v>
      </c>
      <c r="V34" s="120" t="s">
        <v>67</v>
      </c>
      <c r="W34" s="69" t="s">
        <v>68</v>
      </c>
      <c r="X34" s="69" t="s">
        <v>121</v>
      </c>
      <c r="Y34" s="128" t="s">
        <v>956</v>
      </c>
      <c r="Z34" s="121" t="s">
        <v>957</v>
      </c>
      <c r="AA34" s="69" t="s">
        <v>961</v>
      </c>
      <c r="AB34" s="70" t="s">
        <v>67</v>
      </c>
      <c r="AC34" s="164"/>
      <c r="AD34" s="69"/>
      <c r="AE34" s="69"/>
      <c r="AF34" s="69"/>
      <c r="AG34" s="69"/>
      <c r="AH34" s="69"/>
    </row>
    <row r="35" spans="1:34" s="122" customFormat="1" ht="24.95" customHeight="1" x14ac:dyDescent="0.25">
      <c r="A35" s="128">
        <v>86101600</v>
      </c>
      <c r="B35" s="294" t="s">
        <v>58</v>
      </c>
      <c r="C35" s="294" t="s">
        <v>117</v>
      </c>
      <c r="D35" s="294" t="s">
        <v>60</v>
      </c>
      <c r="E35" s="69" t="s">
        <v>118</v>
      </c>
      <c r="F35" s="69" t="s">
        <v>992</v>
      </c>
      <c r="G35" s="69">
        <v>8</v>
      </c>
      <c r="H35" s="69">
        <v>8</v>
      </c>
      <c r="I35" s="69">
        <v>0</v>
      </c>
      <c r="J35" s="69">
        <v>0</v>
      </c>
      <c r="K35" s="69" t="s">
        <v>83</v>
      </c>
      <c r="L35" s="115" t="s">
        <v>67</v>
      </c>
      <c r="M35" s="115">
        <f>10381632-10381632</f>
        <v>0</v>
      </c>
      <c r="N35" s="115"/>
      <c r="O35" s="115"/>
      <c r="P35" s="115"/>
      <c r="Q35" s="514"/>
      <c r="R35" s="119">
        <v>10381632</v>
      </c>
      <c r="S35" s="143" t="s">
        <v>980</v>
      </c>
      <c r="T35" s="69" t="s">
        <v>66</v>
      </c>
      <c r="U35" s="119">
        <v>0</v>
      </c>
      <c r="V35" s="120" t="s">
        <v>67</v>
      </c>
      <c r="W35" s="69" t="s">
        <v>68</v>
      </c>
      <c r="X35" s="69" t="s">
        <v>121</v>
      </c>
      <c r="Y35" s="128" t="s">
        <v>956</v>
      </c>
      <c r="Z35" s="121" t="s">
        <v>957</v>
      </c>
      <c r="AA35" s="69" t="s">
        <v>993</v>
      </c>
      <c r="AB35" s="70" t="s">
        <v>67</v>
      </c>
      <c r="AC35" s="164"/>
      <c r="AD35" s="69"/>
      <c r="AE35" s="69"/>
      <c r="AF35" s="69"/>
      <c r="AG35" s="69"/>
      <c r="AH35" s="69"/>
    </row>
    <row r="36" spans="1:34" s="122" customFormat="1" ht="24.95" customHeight="1" x14ac:dyDescent="0.25">
      <c r="A36" s="128">
        <v>86101600</v>
      </c>
      <c r="B36" s="294" t="s">
        <v>58</v>
      </c>
      <c r="C36" s="294" t="s">
        <v>117</v>
      </c>
      <c r="D36" s="294" t="s">
        <v>60</v>
      </c>
      <c r="E36" s="69" t="s">
        <v>118</v>
      </c>
      <c r="F36" s="69" t="s">
        <v>994</v>
      </c>
      <c r="G36" s="69">
        <v>10</v>
      </c>
      <c r="H36" s="69">
        <v>10</v>
      </c>
      <c r="I36" s="69">
        <v>0</v>
      </c>
      <c r="J36" s="69">
        <v>0</v>
      </c>
      <c r="K36" s="69" t="s">
        <v>83</v>
      </c>
      <c r="L36" s="115" t="s">
        <v>67</v>
      </c>
      <c r="M36" s="115">
        <f>2646000-2646000</f>
        <v>0</v>
      </c>
      <c r="N36" s="115"/>
      <c r="O36" s="115"/>
      <c r="P36" s="115"/>
      <c r="Q36" s="514"/>
      <c r="R36" s="119">
        <v>2646000</v>
      </c>
      <c r="S36" s="143" t="s">
        <v>980</v>
      </c>
      <c r="T36" s="69" t="s">
        <v>66</v>
      </c>
      <c r="U36" s="119">
        <v>0</v>
      </c>
      <c r="V36" s="120" t="s">
        <v>67</v>
      </c>
      <c r="W36" s="69" t="s">
        <v>68</v>
      </c>
      <c r="X36" s="69" t="s">
        <v>121</v>
      </c>
      <c r="Y36" s="128" t="s">
        <v>956</v>
      </c>
      <c r="Z36" s="121" t="s">
        <v>957</v>
      </c>
      <c r="AA36" s="69" t="s">
        <v>995</v>
      </c>
      <c r="AB36" s="70" t="s">
        <v>67</v>
      </c>
      <c r="AC36" s="164"/>
      <c r="AD36" s="69"/>
      <c r="AE36" s="69"/>
      <c r="AF36" s="69"/>
      <c r="AG36" s="69"/>
      <c r="AH36" s="69"/>
    </row>
    <row r="37" spans="1:34" s="122" customFormat="1" ht="24.95" customHeight="1" x14ac:dyDescent="0.25">
      <c r="A37" s="128">
        <v>86101600</v>
      </c>
      <c r="B37" s="294" t="s">
        <v>58</v>
      </c>
      <c r="C37" s="294" t="s">
        <v>117</v>
      </c>
      <c r="D37" s="294" t="s">
        <v>60</v>
      </c>
      <c r="E37" s="69" t="s">
        <v>118</v>
      </c>
      <c r="F37" s="69" t="s">
        <v>996</v>
      </c>
      <c r="G37" s="69">
        <v>8</v>
      </c>
      <c r="H37" s="69">
        <v>8</v>
      </c>
      <c r="I37" s="69">
        <v>0</v>
      </c>
      <c r="J37" s="69">
        <v>0</v>
      </c>
      <c r="K37" s="69" t="s">
        <v>83</v>
      </c>
      <c r="L37" s="115" t="s">
        <v>67</v>
      </c>
      <c r="M37" s="115">
        <f>3266112-3266112</f>
        <v>0</v>
      </c>
      <c r="N37" s="115"/>
      <c r="O37" s="115"/>
      <c r="P37" s="115"/>
      <c r="Q37" s="514"/>
      <c r="R37" s="119">
        <v>3266112</v>
      </c>
      <c r="S37" s="143" t="s">
        <v>980</v>
      </c>
      <c r="T37" s="69" t="s">
        <v>66</v>
      </c>
      <c r="U37" s="119">
        <v>0</v>
      </c>
      <c r="V37" s="120" t="s">
        <v>67</v>
      </c>
      <c r="W37" s="69" t="s">
        <v>68</v>
      </c>
      <c r="X37" s="69" t="s">
        <v>121</v>
      </c>
      <c r="Y37" s="128" t="s">
        <v>956</v>
      </c>
      <c r="Z37" s="121" t="s">
        <v>957</v>
      </c>
      <c r="AA37" s="69" t="s">
        <v>997</v>
      </c>
      <c r="AB37" s="70" t="s">
        <v>67</v>
      </c>
      <c r="AC37" s="164"/>
      <c r="AD37" s="69"/>
      <c r="AE37" s="69"/>
      <c r="AF37" s="69"/>
      <c r="AG37" s="69"/>
      <c r="AH37" s="69"/>
    </row>
    <row r="38" spans="1:34" s="122" customFormat="1" ht="24.95" customHeight="1" x14ac:dyDescent="0.25">
      <c r="A38" s="128">
        <v>86101600</v>
      </c>
      <c r="B38" s="294" t="s">
        <v>58</v>
      </c>
      <c r="C38" s="294" t="s">
        <v>117</v>
      </c>
      <c r="D38" s="294" t="s">
        <v>60</v>
      </c>
      <c r="E38" s="69" t="s">
        <v>118</v>
      </c>
      <c r="F38" s="69" t="s">
        <v>998</v>
      </c>
      <c r="G38" s="69">
        <v>8</v>
      </c>
      <c r="H38" s="69">
        <v>8</v>
      </c>
      <c r="I38" s="123">
        <v>4</v>
      </c>
      <c r="J38" s="69">
        <v>0</v>
      </c>
      <c r="K38" s="69" t="s">
        <v>83</v>
      </c>
      <c r="L38" s="115" t="s">
        <v>67</v>
      </c>
      <c r="M38" s="115">
        <f t="shared" ref="M38:M47" si="0">3240000-3240000</f>
        <v>0</v>
      </c>
      <c r="N38" s="115"/>
      <c r="O38" s="115"/>
      <c r="P38" s="115"/>
      <c r="Q38" s="514"/>
      <c r="R38" s="119">
        <v>3240000</v>
      </c>
      <c r="S38" s="143" t="s">
        <v>67</v>
      </c>
      <c r="T38" s="69" t="s">
        <v>66</v>
      </c>
      <c r="U38" s="119">
        <v>0</v>
      </c>
      <c r="V38" s="120" t="s">
        <v>67</v>
      </c>
      <c r="W38" s="69" t="s">
        <v>68</v>
      </c>
      <c r="X38" s="69" t="s">
        <v>121</v>
      </c>
      <c r="Y38" s="128" t="s">
        <v>956</v>
      </c>
      <c r="Z38" s="121" t="s">
        <v>957</v>
      </c>
      <c r="AA38" s="69" t="s">
        <v>134</v>
      </c>
      <c r="AB38" s="70" t="s">
        <v>67</v>
      </c>
      <c r="AC38" s="164"/>
      <c r="AD38" s="69"/>
      <c r="AE38" s="69"/>
      <c r="AF38" s="69"/>
      <c r="AG38" s="69"/>
      <c r="AH38" s="69"/>
    </row>
    <row r="39" spans="1:34" s="122" customFormat="1" ht="24.95" customHeight="1" x14ac:dyDescent="0.25">
      <c r="A39" s="128">
        <v>86101600</v>
      </c>
      <c r="B39" s="294" t="s">
        <v>58</v>
      </c>
      <c r="C39" s="294" t="s">
        <v>117</v>
      </c>
      <c r="D39" s="294" t="s">
        <v>60</v>
      </c>
      <c r="E39" s="69" t="s">
        <v>118</v>
      </c>
      <c r="F39" s="69" t="s">
        <v>999</v>
      </c>
      <c r="G39" s="69">
        <v>8</v>
      </c>
      <c r="H39" s="69">
        <v>8</v>
      </c>
      <c r="I39" s="123">
        <v>4</v>
      </c>
      <c r="J39" s="69">
        <v>0</v>
      </c>
      <c r="K39" s="69" t="s">
        <v>83</v>
      </c>
      <c r="L39" s="115" t="s">
        <v>67</v>
      </c>
      <c r="M39" s="115">
        <f t="shared" si="0"/>
        <v>0</v>
      </c>
      <c r="N39" s="115"/>
      <c r="O39" s="115"/>
      <c r="P39" s="115"/>
      <c r="Q39" s="514"/>
      <c r="R39" s="119">
        <v>3240000</v>
      </c>
      <c r="S39" s="143" t="s">
        <v>67</v>
      </c>
      <c r="T39" s="69" t="s">
        <v>66</v>
      </c>
      <c r="U39" s="119">
        <v>0</v>
      </c>
      <c r="V39" s="120" t="s">
        <v>67</v>
      </c>
      <c r="W39" s="69" t="s">
        <v>68</v>
      </c>
      <c r="X39" s="69" t="s">
        <v>121</v>
      </c>
      <c r="Y39" s="128" t="s">
        <v>956</v>
      </c>
      <c r="Z39" s="121" t="s">
        <v>957</v>
      </c>
      <c r="AA39" s="69" t="s">
        <v>134</v>
      </c>
      <c r="AB39" s="70" t="s">
        <v>67</v>
      </c>
      <c r="AC39" s="164"/>
      <c r="AD39" s="69"/>
      <c r="AE39" s="69"/>
      <c r="AF39" s="69"/>
      <c r="AG39" s="69"/>
      <c r="AH39" s="69"/>
    </row>
    <row r="40" spans="1:34" s="122" customFormat="1" ht="24.95" customHeight="1" x14ac:dyDescent="0.25">
      <c r="A40" s="128">
        <v>86101600</v>
      </c>
      <c r="B40" s="294" t="s">
        <v>58</v>
      </c>
      <c r="C40" s="294" t="s">
        <v>117</v>
      </c>
      <c r="D40" s="294" t="s">
        <v>60</v>
      </c>
      <c r="E40" s="69" t="s">
        <v>118</v>
      </c>
      <c r="F40" s="69" t="s">
        <v>1000</v>
      </c>
      <c r="G40" s="69">
        <v>8</v>
      </c>
      <c r="H40" s="69">
        <v>8</v>
      </c>
      <c r="I40" s="123">
        <v>4</v>
      </c>
      <c r="J40" s="69">
        <v>0</v>
      </c>
      <c r="K40" s="69" t="s">
        <v>83</v>
      </c>
      <c r="L40" s="115" t="s">
        <v>67</v>
      </c>
      <c r="M40" s="115">
        <f t="shared" si="0"/>
        <v>0</v>
      </c>
      <c r="N40" s="115"/>
      <c r="O40" s="115"/>
      <c r="P40" s="115"/>
      <c r="Q40" s="514"/>
      <c r="R40" s="119">
        <v>3240000</v>
      </c>
      <c r="S40" s="143" t="s">
        <v>67</v>
      </c>
      <c r="T40" s="69" t="s">
        <v>66</v>
      </c>
      <c r="U40" s="119">
        <v>0</v>
      </c>
      <c r="V40" s="120" t="s">
        <v>67</v>
      </c>
      <c r="W40" s="69" t="s">
        <v>68</v>
      </c>
      <c r="X40" s="69" t="s">
        <v>121</v>
      </c>
      <c r="Y40" s="128" t="s">
        <v>956</v>
      </c>
      <c r="Z40" s="121" t="s">
        <v>957</v>
      </c>
      <c r="AA40" s="69" t="s">
        <v>134</v>
      </c>
      <c r="AB40" s="70" t="s">
        <v>67</v>
      </c>
      <c r="AC40" s="164"/>
      <c r="AD40" s="69"/>
      <c r="AE40" s="69"/>
      <c r="AF40" s="69"/>
      <c r="AG40" s="69"/>
      <c r="AH40" s="69"/>
    </row>
    <row r="41" spans="1:34" s="122" customFormat="1" ht="24.95" customHeight="1" x14ac:dyDescent="0.25">
      <c r="A41" s="128">
        <v>86101600</v>
      </c>
      <c r="B41" s="294" t="s">
        <v>58</v>
      </c>
      <c r="C41" s="294" t="s">
        <v>117</v>
      </c>
      <c r="D41" s="294" t="s">
        <v>60</v>
      </c>
      <c r="E41" s="69" t="s">
        <v>118</v>
      </c>
      <c r="F41" s="69" t="s">
        <v>1001</v>
      </c>
      <c r="G41" s="69">
        <v>8</v>
      </c>
      <c r="H41" s="69">
        <v>8</v>
      </c>
      <c r="I41" s="123">
        <v>4</v>
      </c>
      <c r="J41" s="69">
        <v>0</v>
      </c>
      <c r="K41" s="69" t="s">
        <v>83</v>
      </c>
      <c r="L41" s="115" t="s">
        <v>67</v>
      </c>
      <c r="M41" s="115">
        <f t="shared" si="0"/>
        <v>0</v>
      </c>
      <c r="N41" s="115"/>
      <c r="O41" s="115"/>
      <c r="P41" s="115"/>
      <c r="Q41" s="514"/>
      <c r="R41" s="119">
        <v>3240000</v>
      </c>
      <c r="S41" s="143" t="s">
        <v>67</v>
      </c>
      <c r="T41" s="69" t="s">
        <v>66</v>
      </c>
      <c r="U41" s="119">
        <v>0</v>
      </c>
      <c r="V41" s="120" t="s">
        <v>67</v>
      </c>
      <c r="W41" s="69" t="s">
        <v>68</v>
      </c>
      <c r="X41" s="69" t="s">
        <v>121</v>
      </c>
      <c r="Y41" s="128" t="s">
        <v>956</v>
      </c>
      <c r="Z41" s="121" t="s">
        <v>957</v>
      </c>
      <c r="AA41" s="69" t="s">
        <v>134</v>
      </c>
      <c r="AB41" s="70" t="s">
        <v>67</v>
      </c>
      <c r="AC41" s="164"/>
      <c r="AD41" s="69"/>
      <c r="AE41" s="69"/>
      <c r="AF41" s="69"/>
      <c r="AG41" s="69"/>
      <c r="AH41" s="69"/>
    </row>
    <row r="42" spans="1:34" s="122" customFormat="1" ht="24.95" customHeight="1" x14ac:dyDescent="0.25">
      <c r="A42" s="128">
        <v>86101600</v>
      </c>
      <c r="B42" s="294" t="s">
        <v>58</v>
      </c>
      <c r="C42" s="294" t="s">
        <v>117</v>
      </c>
      <c r="D42" s="294" t="s">
        <v>60</v>
      </c>
      <c r="E42" s="69" t="s">
        <v>118</v>
      </c>
      <c r="F42" s="69" t="s">
        <v>1002</v>
      </c>
      <c r="G42" s="69">
        <v>8</v>
      </c>
      <c r="H42" s="69">
        <v>8</v>
      </c>
      <c r="I42" s="123">
        <v>4</v>
      </c>
      <c r="J42" s="69">
        <v>0</v>
      </c>
      <c r="K42" s="69" t="s">
        <v>83</v>
      </c>
      <c r="L42" s="115" t="s">
        <v>67</v>
      </c>
      <c r="M42" s="115">
        <f t="shared" si="0"/>
        <v>0</v>
      </c>
      <c r="N42" s="115"/>
      <c r="O42" s="115"/>
      <c r="P42" s="115"/>
      <c r="Q42" s="514"/>
      <c r="R42" s="119">
        <v>3240000</v>
      </c>
      <c r="S42" s="143" t="s">
        <v>67</v>
      </c>
      <c r="T42" s="69" t="s">
        <v>66</v>
      </c>
      <c r="U42" s="119">
        <v>0</v>
      </c>
      <c r="V42" s="120" t="s">
        <v>67</v>
      </c>
      <c r="W42" s="69" t="s">
        <v>68</v>
      </c>
      <c r="X42" s="69" t="s">
        <v>121</v>
      </c>
      <c r="Y42" s="128" t="s">
        <v>956</v>
      </c>
      <c r="Z42" s="121" t="s">
        <v>957</v>
      </c>
      <c r="AA42" s="69" t="s">
        <v>134</v>
      </c>
      <c r="AB42" s="70" t="s">
        <v>67</v>
      </c>
      <c r="AC42" s="164"/>
      <c r="AD42" s="69"/>
      <c r="AE42" s="69"/>
      <c r="AF42" s="69"/>
      <c r="AG42" s="69"/>
      <c r="AH42" s="69"/>
    </row>
    <row r="43" spans="1:34" s="122" customFormat="1" ht="24.95" customHeight="1" x14ac:dyDescent="0.25">
      <c r="A43" s="128">
        <v>86101600</v>
      </c>
      <c r="B43" s="294" t="s">
        <v>58</v>
      </c>
      <c r="C43" s="294" t="s">
        <v>117</v>
      </c>
      <c r="D43" s="294" t="s">
        <v>60</v>
      </c>
      <c r="E43" s="69" t="s">
        <v>118</v>
      </c>
      <c r="F43" s="69" t="s">
        <v>1003</v>
      </c>
      <c r="G43" s="69">
        <v>8</v>
      </c>
      <c r="H43" s="69">
        <v>8</v>
      </c>
      <c r="I43" s="123">
        <v>4</v>
      </c>
      <c r="J43" s="69">
        <v>0</v>
      </c>
      <c r="K43" s="69" t="s">
        <v>83</v>
      </c>
      <c r="L43" s="115" t="s">
        <v>67</v>
      </c>
      <c r="M43" s="115">
        <f t="shared" si="0"/>
        <v>0</v>
      </c>
      <c r="N43" s="115"/>
      <c r="O43" s="115"/>
      <c r="P43" s="115"/>
      <c r="Q43" s="514"/>
      <c r="R43" s="119">
        <v>3240000</v>
      </c>
      <c r="S43" s="143" t="s">
        <v>67</v>
      </c>
      <c r="T43" s="69" t="s">
        <v>66</v>
      </c>
      <c r="U43" s="119">
        <v>0</v>
      </c>
      <c r="V43" s="120" t="s">
        <v>67</v>
      </c>
      <c r="W43" s="69" t="s">
        <v>68</v>
      </c>
      <c r="X43" s="69" t="s">
        <v>121</v>
      </c>
      <c r="Y43" s="128" t="s">
        <v>956</v>
      </c>
      <c r="Z43" s="121" t="s">
        <v>957</v>
      </c>
      <c r="AA43" s="69" t="s">
        <v>134</v>
      </c>
      <c r="AB43" s="70" t="s">
        <v>67</v>
      </c>
      <c r="AC43" s="164"/>
      <c r="AD43" s="69"/>
      <c r="AE43" s="69"/>
      <c r="AF43" s="69"/>
      <c r="AG43" s="69"/>
      <c r="AH43" s="69"/>
    </row>
    <row r="44" spans="1:34" s="122" customFormat="1" ht="24.95" customHeight="1" x14ac:dyDescent="0.25">
      <c r="A44" s="128">
        <v>86101600</v>
      </c>
      <c r="B44" s="294" t="s">
        <v>58</v>
      </c>
      <c r="C44" s="294" t="s">
        <v>117</v>
      </c>
      <c r="D44" s="294" t="s">
        <v>60</v>
      </c>
      <c r="E44" s="69" t="s">
        <v>118</v>
      </c>
      <c r="F44" s="69" t="s">
        <v>1004</v>
      </c>
      <c r="G44" s="69">
        <v>8</v>
      </c>
      <c r="H44" s="69">
        <v>8</v>
      </c>
      <c r="I44" s="123">
        <v>4</v>
      </c>
      <c r="J44" s="69">
        <v>0</v>
      </c>
      <c r="K44" s="69" t="s">
        <v>83</v>
      </c>
      <c r="L44" s="115" t="s">
        <v>67</v>
      </c>
      <c r="M44" s="115">
        <f t="shared" si="0"/>
        <v>0</v>
      </c>
      <c r="N44" s="115"/>
      <c r="O44" s="115"/>
      <c r="P44" s="115"/>
      <c r="Q44" s="514"/>
      <c r="R44" s="119">
        <v>3240000</v>
      </c>
      <c r="S44" s="143" t="s">
        <v>67</v>
      </c>
      <c r="T44" s="69" t="s">
        <v>66</v>
      </c>
      <c r="U44" s="119">
        <v>0</v>
      </c>
      <c r="V44" s="120" t="s">
        <v>67</v>
      </c>
      <c r="W44" s="69" t="s">
        <v>68</v>
      </c>
      <c r="X44" s="69" t="s">
        <v>121</v>
      </c>
      <c r="Y44" s="128" t="s">
        <v>956</v>
      </c>
      <c r="Z44" s="121" t="s">
        <v>957</v>
      </c>
      <c r="AA44" s="69" t="s">
        <v>134</v>
      </c>
      <c r="AB44" s="70" t="s">
        <v>67</v>
      </c>
      <c r="AC44" s="164"/>
      <c r="AD44" s="69"/>
      <c r="AE44" s="69"/>
      <c r="AF44" s="69"/>
      <c r="AG44" s="69"/>
      <c r="AH44" s="69"/>
    </row>
    <row r="45" spans="1:34" s="122" customFormat="1" ht="24.95" customHeight="1" x14ac:dyDescent="0.25">
      <c r="A45" s="128">
        <v>86101600</v>
      </c>
      <c r="B45" s="294" t="s">
        <v>58</v>
      </c>
      <c r="C45" s="294" t="s">
        <v>117</v>
      </c>
      <c r="D45" s="294" t="s">
        <v>60</v>
      </c>
      <c r="E45" s="69" t="s">
        <v>118</v>
      </c>
      <c r="F45" s="69" t="s">
        <v>1005</v>
      </c>
      <c r="G45" s="69">
        <v>8</v>
      </c>
      <c r="H45" s="69">
        <v>8</v>
      </c>
      <c r="I45" s="123">
        <v>4</v>
      </c>
      <c r="J45" s="69">
        <v>0</v>
      </c>
      <c r="K45" s="69" t="s">
        <v>83</v>
      </c>
      <c r="L45" s="115" t="s">
        <v>67</v>
      </c>
      <c r="M45" s="115">
        <f t="shared" si="0"/>
        <v>0</v>
      </c>
      <c r="N45" s="115"/>
      <c r="O45" s="115"/>
      <c r="P45" s="115"/>
      <c r="Q45" s="514"/>
      <c r="R45" s="119">
        <v>3240000</v>
      </c>
      <c r="S45" s="143" t="s">
        <v>67</v>
      </c>
      <c r="T45" s="69" t="s">
        <v>66</v>
      </c>
      <c r="U45" s="119">
        <v>0</v>
      </c>
      <c r="V45" s="120" t="s">
        <v>67</v>
      </c>
      <c r="W45" s="69" t="s">
        <v>68</v>
      </c>
      <c r="X45" s="69" t="s">
        <v>121</v>
      </c>
      <c r="Y45" s="128" t="s">
        <v>956</v>
      </c>
      <c r="Z45" s="121" t="s">
        <v>957</v>
      </c>
      <c r="AA45" s="69" t="s">
        <v>134</v>
      </c>
      <c r="AB45" s="70" t="s">
        <v>67</v>
      </c>
      <c r="AC45" s="164"/>
      <c r="AD45" s="69"/>
      <c r="AE45" s="69"/>
      <c r="AF45" s="69"/>
      <c r="AG45" s="69"/>
      <c r="AH45" s="69"/>
    </row>
    <row r="46" spans="1:34" s="122" customFormat="1" ht="24.95" customHeight="1" x14ac:dyDescent="0.25">
      <c r="A46" s="128">
        <v>86101600</v>
      </c>
      <c r="B46" s="294" t="s">
        <v>58</v>
      </c>
      <c r="C46" s="294" t="s">
        <v>117</v>
      </c>
      <c r="D46" s="294" t="s">
        <v>60</v>
      </c>
      <c r="E46" s="69" t="s">
        <v>118</v>
      </c>
      <c r="F46" s="69" t="s">
        <v>1006</v>
      </c>
      <c r="G46" s="69">
        <v>8</v>
      </c>
      <c r="H46" s="69">
        <v>8</v>
      </c>
      <c r="I46" s="123">
        <v>4</v>
      </c>
      <c r="J46" s="69">
        <v>0</v>
      </c>
      <c r="K46" s="69" t="s">
        <v>83</v>
      </c>
      <c r="L46" s="115" t="s">
        <v>67</v>
      </c>
      <c r="M46" s="115">
        <f t="shared" si="0"/>
        <v>0</v>
      </c>
      <c r="N46" s="115"/>
      <c r="O46" s="115"/>
      <c r="P46" s="115"/>
      <c r="Q46" s="514"/>
      <c r="R46" s="119">
        <v>3240000</v>
      </c>
      <c r="S46" s="143" t="s">
        <v>67</v>
      </c>
      <c r="T46" s="69" t="s">
        <v>66</v>
      </c>
      <c r="U46" s="119">
        <v>0</v>
      </c>
      <c r="V46" s="120" t="s">
        <v>67</v>
      </c>
      <c r="W46" s="69" t="s">
        <v>68</v>
      </c>
      <c r="X46" s="69" t="s">
        <v>121</v>
      </c>
      <c r="Y46" s="128" t="s">
        <v>956</v>
      </c>
      <c r="Z46" s="121" t="s">
        <v>957</v>
      </c>
      <c r="AA46" s="69" t="s">
        <v>134</v>
      </c>
      <c r="AB46" s="70" t="s">
        <v>67</v>
      </c>
      <c r="AC46" s="164"/>
      <c r="AD46" s="69"/>
      <c r="AE46" s="69"/>
      <c r="AF46" s="69"/>
      <c r="AG46" s="69"/>
      <c r="AH46" s="69"/>
    </row>
    <row r="47" spans="1:34" s="122" customFormat="1" ht="24.95" customHeight="1" x14ac:dyDescent="0.25">
      <c r="A47" s="128">
        <v>86101600</v>
      </c>
      <c r="B47" s="294" t="s">
        <v>58</v>
      </c>
      <c r="C47" s="294" t="s">
        <v>117</v>
      </c>
      <c r="D47" s="294" t="s">
        <v>60</v>
      </c>
      <c r="E47" s="69" t="s">
        <v>118</v>
      </c>
      <c r="F47" s="69" t="s">
        <v>1007</v>
      </c>
      <c r="G47" s="69">
        <v>8</v>
      </c>
      <c r="H47" s="69">
        <v>8</v>
      </c>
      <c r="I47" s="123">
        <v>4</v>
      </c>
      <c r="J47" s="69">
        <v>0</v>
      </c>
      <c r="K47" s="69" t="s">
        <v>83</v>
      </c>
      <c r="L47" s="115" t="s">
        <v>67</v>
      </c>
      <c r="M47" s="115">
        <f t="shared" si="0"/>
        <v>0</v>
      </c>
      <c r="N47" s="115"/>
      <c r="O47" s="115"/>
      <c r="P47" s="115"/>
      <c r="Q47" s="514"/>
      <c r="R47" s="119">
        <v>3240000</v>
      </c>
      <c r="S47" s="143" t="s">
        <v>67</v>
      </c>
      <c r="T47" s="69" t="s">
        <v>66</v>
      </c>
      <c r="U47" s="119">
        <v>0</v>
      </c>
      <c r="V47" s="120" t="s">
        <v>67</v>
      </c>
      <c r="W47" s="69" t="s">
        <v>68</v>
      </c>
      <c r="X47" s="69" t="s">
        <v>121</v>
      </c>
      <c r="Y47" s="128" t="s">
        <v>956</v>
      </c>
      <c r="Z47" s="121" t="s">
        <v>957</v>
      </c>
      <c r="AA47" s="69" t="s">
        <v>134</v>
      </c>
      <c r="AB47" s="70" t="s">
        <v>67</v>
      </c>
      <c r="AC47" s="164"/>
      <c r="AD47" s="69"/>
      <c r="AE47" s="69"/>
      <c r="AF47" s="69"/>
      <c r="AG47" s="69"/>
      <c r="AH47" s="69"/>
    </row>
    <row r="48" spans="1:34" s="122" customFormat="1" ht="24.95" customHeight="1" x14ac:dyDescent="0.25">
      <c r="A48" s="132">
        <v>86101600</v>
      </c>
      <c r="B48" s="295" t="s">
        <v>58</v>
      </c>
      <c r="C48" s="295" t="s">
        <v>117</v>
      </c>
      <c r="D48" s="295" t="s">
        <v>60</v>
      </c>
      <c r="E48" s="116" t="s">
        <v>118</v>
      </c>
      <c r="F48" s="116" t="s">
        <v>975</v>
      </c>
      <c r="G48" s="116">
        <v>3</v>
      </c>
      <c r="H48" s="116">
        <v>3</v>
      </c>
      <c r="I48" s="116">
        <v>4</v>
      </c>
      <c r="J48" s="116">
        <v>0</v>
      </c>
      <c r="K48" s="116" t="s">
        <v>83</v>
      </c>
      <c r="L48" s="115" t="s">
        <v>67</v>
      </c>
      <c r="M48" s="719">
        <v>0</v>
      </c>
      <c r="N48" s="719"/>
      <c r="O48" s="719"/>
      <c r="P48" s="719"/>
      <c r="Q48" s="720"/>
      <c r="R48" s="719">
        <v>6988800</v>
      </c>
      <c r="S48" s="720" t="s">
        <v>67</v>
      </c>
      <c r="T48" s="116" t="s">
        <v>66</v>
      </c>
      <c r="U48" s="61">
        <v>0</v>
      </c>
      <c r="V48" s="116" t="s">
        <v>67</v>
      </c>
      <c r="W48" s="116" t="s">
        <v>68</v>
      </c>
      <c r="X48" s="116" t="s">
        <v>121</v>
      </c>
      <c r="Y48" s="132" t="s">
        <v>956</v>
      </c>
      <c r="Z48" s="126" t="s">
        <v>957</v>
      </c>
      <c r="AA48" s="116" t="s">
        <v>134</v>
      </c>
      <c r="AB48" s="116" t="s">
        <v>63</v>
      </c>
      <c r="AC48" s="165"/>
      <c r="AD48" s="116"/>
      <c r="AE48" s="116"/>
      <c r="AF48" s="116"/>
      <c r="AG48" s="116"/>
      <c r="AH48" s="116"/>
    </row>
    <row r="49" spans="1:34" s="122" customFormat="1" ht="24.95" customHeight="1" x14ac:dyDescent="0.25">
      <c r="A49" s="132">
        <v>86101600</v>
      </c>
      <c r="B49" s="295" t="s">
        <v>58</v>
      </c>
      <c r="C49" s="295" t="s">
        <v>117</v>
      </c>
      <c r="D49" s="295" t="s">
        <v>60</v>
      </c>
      <c r="E49" s="116" t="s">
        <v>118</v>
      </c>
      <c r="F49" s="116" t="s">
        <v>976</v>
      </c>
      <c r="G49" s="116">
        <v>3</v>
      </c>
      <c r="H49" s="116">
        <v>3</v>
      </c>
      <c r="I49" s="116">
        <v>4</v>
      </c>
      <c r="J49" s="116">
        <v>0</v>
      </c>
      <c r="K49" s="116" t="s">
        <v>83</v>
      </c>
      <c r="L49" s="115" t="s">
        <v>67</v>
      </c>
      <c r="M49" s="719">
        <v>0</v>
      </c>
      <c r="N49" s="719"/>
      <c r="O49" s="719"/>
      <c r="P49" s="719"/>
      <c r="Q49" s="720"/>
      <c r="R49" s="719">
        <v>3852800</v>
      </c>
      <c r="S49" s="720" t="s">
        <v>67</v>
      </c>
      <c r="T49" s="116" t="s">
        <v>66</v>
      </c>
      <c r="U49" s="61">
        <v>0</v>
      </c>
      <c r="V49" s="116" t="s">
        <v>67</v>
      </c>
      <c r="W49" s="116" t="s">
        <v>68</v>
      </c>
      <c r="X49" s="116" t="s">
        <v>121</v>
      </c>
      <c r="Y49" s="132" t="s">
        <v>956</v>
      </c>
      <c r="Z49" s="126" t="s">
        <v>957</v>
      </c>
      <c r="AA49" s="116" t="s">
        <v>134</v>
      </c>
      <c r="AB49" s="116" t="s">
        <v>63</v>
      </c>
      <c r="AC49" s="165"/>
      <c r="AD49" s="116"/>
      <c r="AE49" s="116"/>
      <c r="AF49" s="116"/>
      <c r="AG49" s="116"/>
      <c r="AH49" s="116"/>
    </row>
    <row r="50" spans="1:34" s="122" customFormat="1" ht="24.95" customHeight="1" x14ac:dyDescent="0.25">
      <c r="A50" s="132">
        <v>86101600</v>
      </c>
      <c r="B50" s="295" t="s">
        <v>58</v>
      </c>
      <c r="C50" s="295" t="s">
        <v>117</v>
      </c>
      <c r="D50" s="295" t="s">
        <v>60</v>
      </c>
      <c r="E50" s="116" t="s">
        <v>118</v>
      </c>
      <c r="F50" s="116" t="s">
        <v>977</v>
      </c>
      <c r="G50" s="116">
        <v>3</v>
      </c>
      <c r="H50" s="116">
        <v>3</v>
      </c>
      <c r="I50" s="116">
        <v>4</v>
      </c>
      <c r="J50" s="116">
        <v>0</v>
      </c>
      <c r="K50" s="116" t="s">
        <v>83</v>
      </c>
      <c r="L50" s="115" t="s">
        <v>67</v>
      </c>
      <c r="M50" s="61">
        <v>0</v>
      </c>
      <c r="N50" s="61"/>
      <c r="O50" s="61"/>
      <c r="P50" s="61"/>
      <c r="Q50" s="145"/>
      <c r="R50" s="61">
        <v>9587200</v>
      </c>
      <c r="S50" s="720" t="s">
        <v>67</v>
      </c>
      <c r="T50" s="116" t="s">
        <v>66</v>
      </c>
      <c r="U50" s="61">
        <v>0</v>
      </c>
      <c r="V50" s="125" t="s">
        <v>67</v>
      </c>
      <c r="W50" s="116" t="s">
        <v>68</v>
      </c>
      <c r="X50" s="116" t="s">
        <v>121</v>
      </c>
      <c r="Y50" s="132" t="s">
        <v>956</v>
      </c>
      <c r="Z50" s="126" t="s">
        <v>957</v>
      </c>
      <c r="AA50" s="116" t="s">
        <v>134</v>
      </c>
      <c r="AB50" s="116" t="s">
        <v>63</v>
      </c>
      <c r="AC50" s="165"/>
      <c r="AD50" s="116"/>
      <c r="AE50" s="116"/>
      <c r="AF50" s="116"/>
      <c r="AG50" s="116"/>
      <c r="AH50" s="116"/>
    </row>
    <row r="51" spans="1:34" s="127" customFormat="1" ht="24.95" customHeight="1" x14ac:dyDescent="0.25">
      <c r="A51" s="132">
        <v>86101600</v>
      </c>
      <c r="B51" s="295" t="s">
        <v>58</v>
      </c>
      <c r="C51" s="295" t="s">
        <v>117</v>
      </c>
      <c r="D51" s="295" t="s">
        <v>60</v>
      </c>
      <c r="E51" s="116" t="s">
        <v>118</v>
      </c>
      <c r="F51" s="116" t="s">
        <v>1008</v>
      </c>
      <c r="G51" s="116">
        <v>8</v>
      </c>
      <c r="H51" s="116">
        <v>8</v>
      </c>
      <c r="I51" s="116">
        <v>0</v>
      </c>
      <c r="J51" s="116">
        <v>0</v>
      </c>
      <c r="K51" s="116" t="s">
        <v>83</v>
      </c>
      <c r="L51" s="115" t="s">
        <v>67</v>
      </c>
      <c r="M51" s="61">
        <v>0</v>
      </c>
      <c r="N51" s="61"/>
      <c r="O51" s="61"/>
      <c r="P51" s="61"/>
      <c r="Q51" s="145"/>
      <c r="R51" s="61">
        <v>4109396</v>
      </c>
      <c r="S51" s="145" t="s">
        <v>980</v>
      </c>
      <c r="T51" s="116" t="s">
        <v>66</v>
      </c>
      <c r="U51" s="61">
        <v>0</v>
      </c>
      <c r="V51" s="125" t="s">
        <v>67</v>
      </c>
      <c r="W51" s="116" t="s">
        <v>68</v>
      </c>
      <c r="X51" s="116" t="s">
        <v>121</v>
      </c>
      <c r="Y51" s="132" t="s">
        <v>956</v>
      </c>
      <c r="Z51" s="126" t="s">
        <v>957</v>
      </c>
      <c r="AA51" s="124"/>
      <c r="AB51" s="116" t="s">
        <v>1009</v>
      </c>
      <c r="AC51" s="165"/>
      <c r="AD51" s="116"/>
      <c r="AE51" s="116"/>
      <c r="AF51" s="116"/>
      <c r="AG51" s="116"/>
      <c r="AH51" s="116"/>
    </row>
    <row r="52" spans="1:34" s="127" customFormat="1" ht="24.95" customHeight="1" x14ac:dyDescent="0.25">
      <c r="A52" s="132">
        <v>86101600</v>
      </c>
      <c r="B52" s="295" t="s">
        <v>58</v>
      </c>
      <c r="C52" s="295" t="s">
        <v>117</v>
      </c>
      <c r="D52" s="295" t="s">
        <v>60</v>
      </c>
      <c r="E52" s="116" t="s">
        <v>118</v>
      </c>
      <c r="F52" s="116" t="s">
        <v>1010</v>
      </c>
      <c r="G52" s="116">
        <v>8</v>
      </c>
      <c r="H52" s="116">
        <v>8</v>
      </c>
      <c r="I52" s="116">
        <v>0</v>
      </c>
      <c r="J52" s="116">
        <v>0</v>
      </c>
      <c r="K52" s="116" t="s">
        <v>83</v>
      </c>
      <c r="L52" s="115" t="s">
        <v>67</v>
      </c>
      <c r="M52" s="61">
        <v>0</v>
      </c>
      <c r="N52" s="61"/>
      <c r="O52" s="61"/>
      <c r="P52" s="61"/>
      <c r="Q52" s="145"/>
      <c r="R52" s="61">
        <v>4541964</v>
      </c>
      <c r="S52" s="145" t="s">
        <v>980</v>
      </c>
      <c r="T52" s="116" t="s">
        <v>66</v>
      </c>
      <c r="U52" s="61">
        <v>0</v>
      </c>
      <c r="V52" s="125" t="s">
        <v>67</v>
      </c>
      <c r="W52" s="116" t="s">
        <v>68</v>
      </c>
      <c r="X52" s="116" t="s">
        <v>121</v>
      </c>
      <c r="Y52" s="132" t="s">
        <v>956</v>
      </c>
      <c r="Z52" s="126" t="s">
        <v>957</v>
      </c>
      <c r="AA52" s="124"/>
      <c r="AB52" s="116" t="s">
        <v>1009</v>
      </c>
      <c r="AC52" s="165"/>
      <c r="AD52" s="116"/>
      <c r="AE52" s="116"/>
      <c r="AF52" s="116"/>
      <c r="AG52" s="116"/>
      <c r="AH52" s="116"/>
    </row>
    <row r="53" spans="1:34" s="127" customFormat="1" ht="24.95" customHeight="1" x14ac:dyDescent="0.25">
      <c r="A53" s="132">
        <v>86101600</v>
      </c>
      <c r="B53" s="295" t="s">
        <v>58</v>
      </c>
      <c r="C53" s="295" t="s">
        <v>117</v>
      </c>
      <c r="D53" s="295" t="s">
        <v>60</v>
      </c>
      <c r="E53" s="116" t="s">
        <v>118</v>
      </c>
      <c r="F53" s="116" t="s">
        <v>1011</v>
      </c>
      <c r="G53" s="116">
        <v>1</v>
      </c>
      <c r="H53" s="116">
        <v>1</v>
      </c>
      <c r="I53" s="116">
        <v>10</v>
      </c>
      <c r="J53" s="116">
        <v>0</v>
      </c>
      <c r="K53" s="116" t="s">
        <v>83</v>
      </c>
      <c r="L53" s="115" t="s">
        <v>67</v>
      </c>
      <c r="M53" s="61">
        <v>0</v>
      </c>
      <c r="N53" s="61"/>
      <c r="O53" s="61"/>
      <c r="P53" s="61"/>
      <c r="Q53" s="145"/>
      <c r="R53" s="61">
        <v>30000000</v>
      </c>
      <c r="S53" s="145" t="s">
        <v>1012</v>
      </c>
      <c r="T53" s="116" t="s">
        <v>66</v>
      </c>
      <c r="U53" s="61">
        <v>0</v>
      </c>
      <c r="V53" s="125" t="s">
        <v>67</v>
      </c>
      <c r="W53" s="116" t="s">
        <v>68</v>
      </c>
      <c r="X53" s="116" t="s">
        <v>121</v>
      </c>
      <c r="Y53" s="132" t="s">
        <v>956</v>
      </c>
      <c r="Z53" s="126" t="s">
        <v>957</v>
      </c>
      <c r="AA53" s="124"/>
      <c r="AB53" s="116" t="s">
        <v>1009</v>
      </c>
      <c r="AC53" s="165"/>
      <c r="AD53" s="116"/>
      <c r="AE53" s="116"/>
      <c r="AF53" s="116"/>
      <c r="AG53" s="116"/>
      <c r="AH53" s="116"/>
    </row>
    <row r="54" spans="1:34" ht="24.95" customHeight="1" x14ac:dyDescent="0.25">
      <c r="A54" s="154">
        <v>0</v>
      </c>
      <c r="B54" s="296" t="s">
        <v>471</v>
      </c>
      <c r="C54" s="296" t="s">
        <v>472</v>
      </c>
      <c r="D54" s="296" t="s">
        <v>473</v>
      </c>
      <c r="E54" s="54" t="s">
        <v>1013</v>
      </c>
      <c r="F54" s="54" t="s">
        <v>1014</v>
      </c>
      <c r="G54" s="83">
        <v>1</v>
      </c>
      <c r="H54" s="83">
        <v>1</v>
      </c>
      <c r="I54" s="83">
        <v>11</v>
      </c>
      <c r="J54" s="83">
        <v>0</v>
      </c>
      <c r="K54" s="54" t="s">
        <v>83</v>
      </c>
      <c r="L54" s="54" t="s">
        <v>3</v>
      </c>
      <c r="M54" s="55">
        <v>584539.26</v>
      </c>
      <c r="N54" s="55"/>
      <c r="O54" s="55"/>
      <c r="P54" s="55"/>
      <c r="Q54" s="146"/>
      <c r="R54" s="45">
        <v>0</v>
      </c>
      <c r="S54" s="146" t="s">
        <v>67</v>
      </c>
      <c r="T54" s="21" t="s">
        <v>66</v>
      </c>
      <c r="U54" s="23">
        <v>0</v>
      </c>
      <c r="V54" s="21" t="s">
        <v>67</v>
      </c>
      <c r="W54" s="21" t="s">
        <v>68</v>
      </c>
      <c r="X54" s="54" t="s">
        <v>476</v>
      </c>
      <c r="Y54" s="154">
        <v>3422121</v>
      </c>
      <c r="Z54" s="56" t="s">
        <v>494</v>
      </c>
      <c r="AA54" s="54" t="s">
        <v>477</v>
      </c>
      <c r="AB54" s="13"/>
      <c r="AC54" s="163"/>
      <c r="AD54" s="21"/>
      <c r="AE54" s="21"/>
      <c r="AF54" s="21"/>
      <c r="AG54" s="21"/>
      <c r="AH54" s="21"/>
    </row>
    <row r="55" spans="1:34" ht="24.95" customHeight="1" x14ac:dyDescent="0.25">
      <c r="A55" s="472">
        <v>0</v>
      </c>
      <c r="B55" s="473" t="s">
        <v>270</v>
      </c>
      <c r="C55" s="473" t="s">
        <v>270</v>
      </c>
      <c r="D55" s="473" t="s">
        <v>281</v>
      </c>
      <c r="E55" s="474" t="s">
        <v>609</v>
      </c>
      <c r="F55" s="474" t="s">
        <v>1015</v>
      </c>
      <c r="G55" s="83">
        <v>7</v>
      </c>
      <c r="H55" s="83">
        <v>7</v>
      </c>
      <c r="I55" s="83">
        <v>1</v>
      </c>
      <c r="J55" s="83">
        <v>0</v>
      </c>
      <c r="K55" s="54" t="s">
        <v>83</v>
      </c>
      <c r="L55" s="115" t="s">
        <v>67</v>
      </c>
      <c r="M55" s="475">
        <f>5797021-5797021</f>
        <v>0</v>
      </c>
      <c r="N55" s="475"/>
      <c r="O55" s="475"/>
      <c r="P55" s="475"/>
      <c r="Q55" s="476"/>
      <c r="R55" s="45">
        <v>0</v>
      </c>
      <c r="S55" s="476" t="s">
        <v>63</v>
      </c>
      <c r="T55" s="474" t="s">
        <v>66</v>
      </c>
      <c r="U55" s="475">
        <v>0</v>
      </c>
      <c r="V55" s="474" t="s">
        <v>67</v>
      </c>
      <c r="W55" s="474" t="s">
        <v>68</v>
      </c>
      <c r="X55" s="474" t="s">
        <v>1016</v>
      </c>
      <c r="Y55" s="472">
        <v>3422121</v>
      </c>
      <c r="Z55" s="477" t="s">
        <v>285</v>
      </c>
      <c r="AA55" s="474" t="s">
        <v>477</v>
      </c>
      <c r="AB55" s="478"/>
      <c r="AC55" s="479"/>
      <c r="AD55" s="474"/>
      <c r="AE55" s="474"/>
      <c r="AF55" s="474"/>
      <c r="AG55" s="474"/>
      <c r="AH55" s="474"/>
    </row>
    <row r="56" spans="1:34" ht="24.95" customHeight="1" x14ac:dyDescent="0.25">
      <c r="A56" s="26" t="s">
        <v>149</v>
      </c>
      <c r="B56" s="36" t="s">
        <v>58</v>
      </c>
      <c r="C56" s="36" t="s">
        <v>105</v>
      </c>
      <c r="D56" s="36" t="s">
        <v>94</v>
      </c>
      <c r="E56" s="21" t="s">
        <v>106</v>
      </c>
      <c r="F56" s="21" t="s">
        <v>150</v>
      </c>
      <c r="G56" s="22">
        <v>4</v>
      </c>
      <c r="H56" s="22">
        <v>3</v>
      </c>
      <c r="I56" s="22">
        <v>3</v>
      </c>
      <c r="J56" s="22">
        <v>25</v>
      </c>
      <c r="K56" s="21" t="s">
        <v>151</v>
      </c>
      <c r="L56" s="21" t="s">
        <v>3</v>
      </c>
      <c r="M56" s="23">
        <f>30000000-4306554</f>
        <v>25693446</v>
      </c>
      <c r="N56" s="86"/>
      <c r="O56" s="86"/>
      <c r="P56" s="511"/>
      <c r="Q56" s="86"/>
      <c r="R56" s="45">
        <v>30000000</v>
      </c>
      <c r="S56" s="86" t="s">
        <v>67</v>
      </c>
      <c r="T56" s="21" t="s">
        <v>66</v>
      </c>
      <c r="U56" s="23">
        <v>0</v>
      </c>
      <c r="V56" s="53" t="s">
        <v>67</v>
      </c>
      <c r="W56" s="21" t="s">
        <v>68</v>
      </c>
      <c r="X56" s="21" t="s">
        <v>109</v>
      </c>
      <c r="Y56" s="26" t="s">
        <v>1017</v>
      </c>
      <c r="Z56" s="52" t="s">
        <v>110</v>
      </c>
      <c r="AA56" s="13" t="s">
        <v>67</v>
      </c>
      <c r="AB56" s="13"/>
      <c r="AC56" s="163"/>
      <c r="AD56" s="21"/>
      <c r="AE56" s="21"/>
      <c r="AF56" s="21"/>
      <c r="AG56" s="21"/>
      <c r="AH56" s="21"/>
    </row>
    <row r="57" spans="1:34" ht="24.95" customHeight="1" x14ac:dyDescent="0.25">
      <c r="A57" s="26" t="s">
        <v>152</v>
      </c>
      <c r="B57" s="36" t="s">
        <v>58</v>
      </c>
      <c r="C57" s="36" t="s">
        <v>105</v>
      </c>
      <c r="D57" s="36" t="s">
        <v>94</v>
      </c>
      <c r="E57" s="21" t="s">
        <v>106</v>
      </c>
      <c r="F57" s="21" t="s">
        <v>150</v>
      </c>
      <c r="G57" s="22">
        <v>4</v>
      </c>
      <c r="H57" s="22">
        <v>3</v>
      </c>
      <c r="I57" s="22">
        <v>3</v>
      </c>
      <c r="J57" s="22">
        <v>25</v>
      </c>
      <c r="K57" s="21" t="s">
        <v>151</v>
      </c>
      <c r="L57" s="21" t="s">
        <v>3</v>
      </c>
      <c r="M57" s="23">
        <v>4306554</v>
      </c>
      <c r="N57" s="86" t="s">
        <v>847</v>
      </c>
      <c r="O57" s="86" t="s">
        <v>16</v>
      </c>
      <c r="P57" s="511">
        <v>2018011000319</v>
      </c>
      <c r="Q57" s="86" t="s">
        <v>951</v>
      </c>
      <c r="R57" s="45">
        <v>30000000</v>
      </c>
      <c r="S57" s="86" t="s">
        <v>67</v>
      </c>
      <c r="T57" s="21" t="s">
        <v>66</v>
      </c>
      <c r="U57" s="23">
        <v>1</v>
      </c>
      <c r="V57" s="53" t="s">
        <v>67</v>
      </c>
      <c r="W57" s="21" t="s">
        <v>68</v>
      </c>
      <c r="X57" s="21" t="s">
        <v>109</v>
      </c>
      <c r="Y57" s="26" t="s">
        <v>1018</v>
      </c>
      <c r="Z57" s="52" t="s">
        <v>110</v>
      </c>
      <c r="AA57" s="13" t="s">
        <v>67</v>
      </c>
      <c r="AB57" s="13"/>
      <c r="AC57" s="163"/>
      <c r="AD57" s="21"/>
      <c r="AE57" s="21"/>
      <c r="AF57" s="21"/>
      <c r="AG57" s="21"/>
      <c r="AH57" s="21"/>
    </row>
    <row r="58" spans="1:34" ht="24.95" customHeight="1" x14ac:dyDescent="0.25">
      <c r="A58" s="26" t="s">
        <v>149</v>
      </c>
      <c r="B58" s="36" t="s">
        <v>58</v>
      </c>
      <c r="C58" s="36" t="s">
        <v>105</v>
      </c>
      <c r="D58" s="36" t="s">
        <v>94</v>
      </c>
      <c r="E58" s="21" t="s">
        <v>106</v>
      </c>
      <c r="F58" s="21" t="s">
        <v>153</v>
      </c>
      <c r="G58" s="22">
        <v>1</v>
      </c>
      <c r="H58" s="22">
        <v>1</v>
      </c>
      <c r="I58" s="22">
        <v>11</v>
      </c>
      <c r="J58" s="22">
        <v>25</v>
      </c>
      <c r="K58" s="21" t="s">
        <v>154</v>
      </c>
      <c r="L58" s="21" t="s">
        <v>10</v>
      </c>
      <c r="M58" s="23">
        <f>27000000-634187</f>
        <v>26365813</v>
      </c>
      <c r="N58" s="86" t="s">
        <v>847</v>
      </c>
      <c r="O58" s="86" t="s">
        <v>16</v>
      </c>
      <c r="P58" s="511">
        <v>2018011000319</v>
      </c>
      <c r="Q58" s="86" t="s">
        <v>951</v>
      </c>
      <c r="R58" s="45">
        <v>27000000</v>
      </c>
      <c r="S58" s="86" t="s">
        <v>67</v>
      </c>
      <c r="T58" s="21" t="s">
        <v>66</v>
      </c>
      <c r="U58" s="23">
        <v>0</v>
      </c>
      <c r="V58" s="53" t="s">
        <v>67</v>
      </c>
      <c r="W58" s="21" t="s">
        <v>68</v>
      </c>
      <c r="X58" s="21" t="s">
        <v>109</v>
      </c>
      <c r="Y58" s="26" t="s">
        <v>1017</v>
      </c>
      <c r="Z58" s="52" t="s">
        <v>110</v>
      </c>
      <c r="AA58" s="13" t="s">
        <v>67</v>
      </c>
      <c r="AB58" s="13"/>
      <c r="AC58" s="163"/>
      <c r="AD58" s="21"/>
      <c r="AE58" s="21"/>
      <c r="AF58" s="21"/>
      <c r="AG58" s="21"/>
      <c r="AH58" s="21"/>
    </row>
    <row r="59" spans="1:34" ht="24.95" customHeight="1" x14ac:dyDescent="0.25">
      <c r="A59" s="26" t="s">
        <v>149</v>
      </c>
      <c r="B59" s="36" t="s">
        <v>58</v>
      </c>
      <c r="C59" s="36" t="s">
        <v>105</v>
      </c>
      <c r="D59" s="36" t="s">
        <v>94</v>
      </c>
      <c r="E59" s="21" t="s">
        <v>106</v>
      </c>
      <c r="F59" s="21" t="s">
        <v>153</v>
      </c>
      <c r="G59" s="22">
        <v>1</v>
      </c>
      <c r="H59" s="22">
        <v>1</v>
      </c>
      <c r="I59" s="22">
        <v>11</v>
      </c>
      <c r="J59" s="22">
        <v>25</v>
      </c>
      <c r="K59" s="21" t="s">
        <v>154</v>
      </c>
      <c r="L59" s="21" t="s">
        <v>3</v>
      </c>
      <c r="M59" s="23">
        <f>57000000-56365813</f>
        <v>634187</v>
      </c>
      <c r="N59" s="86" t="s">
        <v>847</v>
      </c>
      <c r="O59" s="86" t="s">
        <v>16</v>
      </c>
      <c r="P59" s="509">
        <v>2018011000319</v>
      </c>
      <c r="Q59" s="86" t="s">
        <v>951</v>
      </c>
      <c r="R59" s="45">
        <v>27000000</v>
      </c>
      <c r="S59" s="86" t="s">
        <v>67</v>
      </c>
      <c r="T59" s="21" t="s">
        <v>66</v>
      </c>
      <c r="U59" s="23">
        <v>0</v>
      </c>
      <c r="V59" s="53" t="s">
        <v>67</v>
      </c>
      <c r="W59" s="21" t="s">
        <v>68</v>
      </c>
      <c r="X59" s="21" t="s">
        <v>109</v>
      </c>
      <c r="Y59" s="26" t="s">
        <v>1017</v>
      </c>
      <c r="Z59" s="52" t="s">
        <v>110</v>
      </c>
      <c r="AA59" s="13" t="s">
        <v>67</v>
      </c>
      <c r="AB59" s="13"/>
      <c r="AC59" s="163"/>
      <c r="AD59" s="21"/>
      <c r="AE59" s="21"/>
      <c r="AF59" s="21"/>
      <c r="AG59" s="21"/>
      <c r="AH59" s="21"/>
    </row>
    <row r="60" spans="1:34" ht="24.95" customHeight="1" x14ac:dyDescent="0.25">
      <c r="A60" s="155">
        <v>81111902</v>
      </c>
      <c r="B60" s="297" t="s">
        <v>58</v>
      </c>
      <c r="C60" s="297" t="s">
        <v>105</v>
      </c>
      <c r="D60" s="297" t="s">
        <v>94</v>
      </c>
      <c r="E60" s="91" t="s">
        <v>106</v>
      </c>
      <c r="F60" s="91" t="s">
        <v>107</v>
      </c>
      <c r="G60" s="92">
        <v>1</v>
      </c>
      <c r="H60" s="92">
        <v>1</v>
      </c>
      <c r="I60" s="92">
        <v>11</v>
      </c>
      <c r="J60" s="92">
        <v>25</v>
      </c>
      <c r="K60" s="91" t="s">
        <v>83</v>
      </c>
      <c r="L60" s="91" t="s">
        <v>3</v>
      </c>
      <c r="M60" s="93">
        <v>11025000</v>
      </c>
      <c r="N60" s="86" t="s">
        <v>847</v>
      </c>
      <c r="O60" s="86" t="s">
        <v>16</v>
      </c>
      <c r="P60" s="509">
        <v>2018011000319</v>
      </c>
      <c r="Q60" s="86" t="s">
        <v>951</v>
      </c>
      <c r="R60" s="93">
        <v>11025000</v>
      </c>
      <c r="S60" s="94" t="s">
        <v>111</v>
      </c>
      <c r="T60" s="91" t="s">
        <v>66</v>
      </c>
      <c r="U60" s="93">
        <v>0</v>
      </c>
      <c r="V60" s="103" t="s">
        <v>67</v>
      </c>
      <c r="W60" s="91" t="s">
        <v>68</v>
      </c>
      <c r="X60" s="91" t="s">
        <v>109</v>
      </c>
      <c r="Y60" s="155" t="s">
        <v>1017</v>
      </c>
      <c r="Z60" s="104" t="s">
        <v>110</v>
      </c>
      <c r="AA60" s="13" t="s">
        <v>67</v>
      </c>
      <c r="AB60" s="13"/>
      <c r="AC60" s="166"/>
      <c r="AD60" s="91"/>
      <c r="AE60" s="91"/>
      <c r="AF60" s="91"/>
      <c r="AG60" s="91"/>
      <c r="AH60" s="91"/>
    </row>
    <row r="61" spans="1:34" ht="24.95" customHeight="1" x14ac:dyDescent="0.25">
      <c r="A61" s="26">
        <v>81111902</v>
      </c>
      <c r="B61" s="36" t="s">
        <v>58</v>
      </c>
      <c r="C61" s="36" t="s">
        <v>105</v>
      </c>
      <c r="D61" s="36" t="s">
        <v>94</v>
      </c>
      <c r="E61" s="21" t="s">
        <v>106</v>
      </c>
      <c r="F61" s="21" t="s">
        <v>155</v>
      </c>
      <c r="G61" s="22">
        <v>3</v>
      </c>
      <c r="H61" s="22">
        <v>3</v>
      </c>
      <c r="I61" s="22">
        <v>11</v>
      </c>
      <c r="J61" s="22">
        <v>25</v>
      </c>
      <c r="K61" s="21" t="s">
        <v>83</v>
      </c>
      <c r="L61" s="21" t="s">
        <v>3</v>
      </c>
      <c r="M61" s="23">
        <v>34260574</v>
      </c>
      <c r="N61" s="86" t="s">
        <v>847</v>
      </c>
      <c r="O61" s="86" t="s">
        <v>16</v>
      </c>
      <c r="P61" s="511">
        <v>2018011000319</v>
      </c>
      <c r="Q61" s="86" t="s">
        <v>951</v>
      </c>
      <c r="R61" s="45">
        <v>34260574</v>
      </c>
      <c r="S61" s="86" t="s">
        <v>67</v>
      </c>
      <c r="T61" s="21" t="s">
        <v>66</v>
      </c>
      <c r="U61" s="23">
        <v>0</v>
      </c>
      <c r="V61" s="53" t="s">
        <v>67</v>
      </c>
      <c r="W61" s="21" t="s">
        <v>68</v>
      </c>
      <c r="X61" s="21" t="s">
        <v>109</v>
      </c>
      <c r="Y61" s="26" t="s">
        <v>1017</v>
      </c>
      <c r="Z61" s="52" t="s">
        <v>110</v>
      </c>
      <c r="AA61" s="13" t="s">
        <v>67</v>
      </c>
      <c r="AB61" s="13"/>
      <c r="AC61" s="163"/>
      <c r="AD61" s="21"/>
      <c r="AE61" s="21"/>
      <c r="AF61" s="21"/>
      <c r="AG61" s="21"/>
      <c r="AH61" s="21"/>
    </row>
    <row r="62" spans="1:34" ht="24.95" customHeight="1" x14ac:dyDescent="0.25">
      <c r="A62" s="128">
        <v>81111902</v>
      </c>
      <c r="B62" s="294" t="s">
        <v>58</v>
      </c>
      <c r="C62" s="294" t="s">
        <v>105</v>
      </c>
      <c r="D62" s="294" t="s">
        <v>94</v>
      </c>
      <c r="E62" s="69" t="s">
        <v>106</v>
      </c>
      <c r="F62" s="69" t="s">
        <v>1019</v>
      </c>
      <c r="G62" s="129">
        <v>9</v>
      </c>
      <c r="H62" s="129">
        <v>9</v>
      </c>
      <c r="I62" s="129">
        <v>11</v>
      </c>
      <c r="J62" s="129">
        <v>25</v>
      </c>
      <c r="K62" s="69" t="s">
        <v>83</v>
      </c>
      <c r="L62" s="115" t="s">
        <v>67</v>
      </c>
      <c r="M62" s="119">
        <f>20612970-20612970</f>
        <v>0</v>
      </c>
      <c r="N62" s="119"/>
      <c r="O62" s="119"/>
      <c r="P62" s="119"/>
      <c r="Q62" s="143"/>
      <c r="R62" s="119">
        <v>20612970</v>
      </c>
      <c r="S62" s="143" t="s">
        <v>63</v>
      </c>
      <c r="T62" s="69" t="s">
        <v>66</v>
      </c>
      <c r="U62" s="119">
        <v>0</v>
      </c>
      <c r="V62" s="120" t="s">
        <v>67</v>
      </c>
      <c r="W62" s="69" t="s">
        <v>68</v>
      </c>
      <c r="X62" s="69" t="s">
        <v>109</v>
      </c>
      <c r="Y62" s="128" t="s">
        <v>1017</v>
      </c>
      <c r="Z62" s="121" t="s">
        <v>110</v>
      </c>
      <c r="AA62" s="70" t="s">
        <v>67</v>
      </c>
      <c r="AB62" s="70"/>
      <c r="AC62" s="164"/>
      <c r="AD62" s="69"/>
      <c r="AE62" s="69"/>
      <c r="AF62" s="69"/>
      <c r="AG62" s="69"/>
      <c r="AH62" s="69"/>
    </row>
    <row r="63" spans="1:34" ht="24.95" customHeight="1" x14ac:dyDescent="0.25">
      <c r="A63" s="26">
        <v>81111902</v>
      </c>
      <c r="B63" s="36" t="s">
        <v>58</v>
      </c>
      <c r="C63" s="36" t="s">
        <v>105</v>
      </c>
      <c r="D63" s="36" t="s">
        <v>94</v>
      </c>
      <c r="E63" s="21" t="s">
        <v>106</v>
      </c>
      <c r="F63" s="21" t="s">
        <v>156</v>
      </c>
      <c r="G63" s="22">
        <v>8</v>
      </c>
      <c r="H63" s="22">
        <v>8</v>
      </c>
      <c r="I63" s="22">
        <v>11</v>
      </c>
      <c r="J63" s="22">
        <v>25</v>
      </c>
      <c r="K63" s="21" t="s">
        <v>83</v>
      </c>
      <c r="L63" s="21" t="s">
        <v>10</v>
      </c>
      <c r="M63" s="23">
        <v>14619696</v>
      </c>
      <c r="N63" s="86" t="s">
        <v>847</v>
      </c>
      <c r="O63" s="86" t="s">
        <v>16</v>
      </c>
      <c r="P63" s="511">
        <v>2018011000319</v>
      </c>
      <c r="Q63" s="86" t="s">
        <v>951</v>
      </c>
      <c r="R63" s="45">
        <v>14619696</v>
      </c>
      <c r="S63" s="86" t="s">
        <v>67</v>
      </c>
      <c r="T63" s="21" t="s">
        <v>66</v>
      </c>
      <c r="U63" s="23">
        <v>0</v>
      </c>
      <c r="V63" s="53" t="s">
        <v>67</v>
      </c>
      <c r="W63" s="21" t="s">
        <v>68</v>
      </c>
      <c r="X63" s="21" t="s">
        <v>109</v>
      </c>
      <c r="Y63" s="26" t="s">
        <v>1017</v>
      </c>
      <c r="Z63" s="52" t="s">
        <v>110</v>
      </c>
      <c r="AA63" s="13" t="s">
        <v>67</v>
      </c>
      <c r="AB63" s="13"/>
      <c r="AC63" s="163"/>
      <c r="AD63" s="21"/>
      <c r="AE63" s="21"/>
      <c r="AF63" s="21"/>
      <c r="AG63" s="21"/>
      <c r="AH63" s="21"/>
    </row>
    <row r="64" spans="1:34" ht="24.95" customHeight="1" x14ac:dyDescent="0.25">
      <c r="A64" s="26">
        <v>81111902</v>
      </c>
      <c r="B64" s="36" t="s">
        <v>58</v>
      </c>
      <c r="C64" s="36" t="s">
        <v>105</v>
      </c>
      <c r="D64" s="36" t="s">
        <v>94</v>
      </c>
      <c r="E64" s="21" t="s">
        <v>106</v>
      </c>
      <c r="F64" s="21" t="s">
        <v>157</v>
      </c>
      <c r="G64" s="22">
        <v>3</v>
      </c>
      <c r="H64" s="22">
        <v>3</v>
      </c>
      <c r="I64" s="22">
        <v>11</v>
      </c>
      <c r="J64" s="22">
        <v>25</v>
      </c>
      <c r="K64" s="21" t="s">
        <v>83</v>
      </c>
      <c r="L64" s="21" t="s">
        <v>10</v>
      </c>
      <c r="M64" s="23">
        <f>19304260-3923956</f>
        <v>15380304</v>
      </c>
      <c r="N64" s="86" t="s">
        <v>847</v>
      </c>
      <c r="O64" s="86" t="s">
        <v>16</v>
      </c>
      <c r="P64" s="511">
        <v>2018011000319</v>
      </c>
      <c r="Q64" s="86" t="s">
        <v>951</v>
      </c>
      <c r="R64" s="45">
        <v>19304260</v>
      </c>
      <c r="S64" s="86" t="s">
        <v>67</v>
      </c>
      <c r="T64" s="21" t="s">
        <v>66</v>
      </c>
      <c r="U64" s="23">
        <v>0</v>
      </c>
      <c r="V64" s="53" t="s">
        <v>67</v>
      </c>
      <c r="W64" s="21" t="s">
        <v>68</v>
      </c>
      <c r="X64" s="21" t="s">
        <v>109</v>
      </c>
      <c r="Y64" s="26" t="s">
        <v>1017</v>
      </c>
      <c r="Z64" s="52" t="s">
        <v>110</v>
      </c>
      <c r="AA64" s="13" t="s">
        <v>67</v>
      </c>
      <c r="AB64" s="13"/>
      <c r="AC64" s="163"/>
      <c r="AD64" s="21"/>
      <c r="AE64" s="21"/>
      <c r="AF64" s="21"/>
      <c r="AG64" s="21"/>
      <c r="AH64" s="21"/>
    </row>
    <row r="65" spans="1:34" ht="24.95" customHeight="1" x14ac:dyDescent="0.25">
      <c r="A65" s="26">
        <v>81111902</v>
      </c>
      <c r="B65" s="36" t="s">
        <v>58</v>
      </c>
      <c r="C65" s="36" t="s">
        <v>105</v>
      </c>
      <c r="D65" s="36" t="s">
        <v>94</v>
      </c>
      <c r="E65" s="21" t="s">
        <v>106</v>
      </c>
      <c r="F65" s="21" t="s">
        <v>157</v>
      </c>
      <c r="G65" s="183"/>
      <c r="H65" s="183"/>
      <c r="I65" s="183"/>
      <c r="J65" s="183"/>
      <c r="K65" s="177"/>
      <c r="L65" s="21" t="s">
        <v>3</v>
      </c>
      <c r="M65" s="23">
        <v>3923956</v>
      </c>
      <c r="N65" s="86" t="s">
        <v>847</v>
      </c>
      <c r="O65" s="86" t="s">
        <v>16</v>
      </c>
      <c r="P65" s="511">
        <v>2018011000319</v>
      </c>
      <c r="Q65" s="86" t="s">
        <v>951</v>
      </c>
      <c r="R65" s="45"/>
      <c r="S65" s="86" t="s">
        <v>67</v>
      </c>
      <c r="T65" s="21" t="s">
        <v>66</v>
      </c>
      <c r="U65" s="23">
        <v>0</v>
      </c>
      <c r="V65" s="53" t="s">
        <v>67</v>
      </c>
      <c r="W65" s="21" t="s">
        <v>68</v>
      </c>
      <c r="X65" s="21" t="s">
        <v>109</v>
      </c>
      <c r="Y65" s="26" t="s">
        <v>1017</v>
      </c>
      <c r="Z65" s="52" t="s">
        <v>110</v>
      </c>
      <c r="AA65" s="13" t="s">
        <v>67</v>
      </c>
      <c r="AB65" s="13"/>
      <c r="AC65" s="163"/>
      <c r="AD65" s="21"/>
      <c r="AE65" s="21"/>
      <c r="AF65" s="21"/>
      <c r="AG65" s="21"/>
      <c r="AH65" s="21"/>
    </row>
    <row r="66" spans="1:34" ht="24.95" customHeight="1" x14ac:dyDescent="0.25">
      <c r="A66" s="181">
        <v>81111902</v>
      </c>
      <c r="B66" s="293" t="s">
        <v>58</v>
      </c>
      <c r="C66" s="293" t="s">
        <v>105</v>
      </c>
      <c r="D66" s="293" t="s">
        <v>94</v>
      </c>
      <c r="E66" s="177" t="s">
        <v>158</v>
      </c>
      <c r="F66" s="177" t="s">
        <v>159</v>
      </c>
      <c r="G66" s="183">
        <v>9</v>
      </c>
      <c r="H66" s="183">
        <v>9</v>
      </c>
      <c r="I66" s="183">
        <v>11</v>
      </c>
      <c r="J66" s="183">
        <v>25</v>
      </c>
      <c r="K66" s="177" t="s">
        <v>83</v>
      </c>
      <c r="L66" s="21" t="s">
        <v>3</v>
      </c>
      <c r="M66" s="178">
        <v>2429400</v>
      </c>
      <c r="N66" s="86" t="s">
        <v>847</v>
      </c>
      <c r="O66" s="86" t="s">
        <v>16</v>
      </c>
      <c r="P66" s="511">
        <v>2018011000319</v>
      </c>
      <c r="Q66" s="86" t="s">
        <v>951</v>
      </c>
      <c r="R66" s="179">
        <v>2429400</v>
      </c>
      <c r="S66" s="184" t="s">
        <v>67</v>
      </c>
      <c r="T66" s="177" t="s">
        <v>66</v>
      </c>
      <c r="U66" s="178">
        <v>0</v>
      </c>
      <c r="V66" s="180" t="s">
        <v>67</v>
      </c>
      <c r="W66" s="177" t="s">
        <v>68</v>
      </c>
      <c r="X66" s="177" t="s">
        <v>109</v>
      </c>
      <c r="Y66" s="181" t="s">
        <v>1017</v>
      </c>
      <c r="Z66" s="182" t="s">
        <v>110</v>
      </c>
      <c r="AA66" s="185" t="s">
        <v>67</v>
      </c>
      <c r="AB66" s="13"/>
      <c r="AC66" s="163"/>
      <c r="AD66" s="21"/>
      <c r="AE66" s="21"/>
      <c r="AF66" s="21"/>
      <c r="AG66" s="21"/>
      <c r="AH66" s="21"/>
    </row>
    <row r="67" spans="1:34" ht="24.95" customHeight="1" x14ac:dyDescent="0.25">
      <c r="A67" s="101" t="s">
        <v>1020</v>
      </c>
      <c r="B67" s="110" t="s">
        <v>58</v>
      </c>
      <c r="C67" s="110" t="s">
        <v>105</v>
      </c>
      <c r="D67" s="110" t="s">
        <v>94</v>
      </c>
      <c r="E67" s="87" t="s">
        <v>158</v>
      </c>
      <c r="F67" s="87" t="s">
        <v>418</v>
      </c>
      <c r="G67" s="88">
        <v>1</v>
      </c>
      <c r="H67" s="88">
        <v>1</v>
      </c>
      <c r="I67" s="88">
        <v>10</v>
      </c>
      <c r="J67" s="88">
        <v>15</v>
      </c>
      <c r="K67" s="87" t="s">
        <v>83</v>
      </c>
      <c r="L67" s="87" t="s">
        <v>3</v>
      </c>
      <c r="M67" s="32">
        <v>44945452</v>
      </c>
      <c r="N67" s="86"/>
      <c r="O67" s="86"/>
      <c r="P67" s="509"/>
      <c r="Q67" s="86"/>
      <c r="R67" s="32">
        <v>47085712</v>
      </c>
      <c r="S67" s="89" t="s">
        <v>197</v>
      </c>
      <c r="T67" s="87" t="s">
        <v>66</v>
      </c>
      <c r="U67" s="32">
        <v>0</v>
      </c>
      <c r="V67" s="105" t="s">
        <v>67</v>
      </c>
      <c r="W67" s="87" t="s">
        <v>68</v>
      </c>
      <c r="X67" s="87" t="s">
        <v>109</v>
      </c>
      <c r="Y67" s="101" t="s">
        <v>1017</v>
      </c>
      <c r="Z67" s="106" t="s">
        <v>110</v>
      </c>
      <c r="AA67" s="117" t="s">
        <v>67</v>
      </c>
      <c r="AB67" s="117"/>
      <c r="AC67" s="162"/>
      <c r="AD67" s="87"/>
      <c r="AE67" s="87"/>
      <c r="AF67" s="87"/>
      <c r="AG67" s="87"/>
      <c r="AH67" s="87"/>
    </row>
    <row r="68" spans="1:34" ht="24.95" customHeight="1" x14ac:dyDescent="0.25">
      <c r="A68" s="101" t="s">
        <v>1020</v>
      </c>
      <c r="B68" s="110" t="s">
        <v>58</v>
      </c>
      <c r="C68" s="110" t="s">
        <v>105</v>
      </c>
      <c r="D68" s="110" t="s">
        <v>94</v>
      </c>
      <c r="E68" s="87" t="s">
        <v>158</v>
      </c>
      <c r="F68" s="87" t="s">
        <v>419</v>
      </c>
      <c r="G68" s="88">
        <v>1</v>
      </c>
      <c r="H68" s="88">
        <v>1</v>
      </c>
      <c r="I68" s="88">
        <v>10</v>
      </c>
      <c r="J68" s="88">
        <v>15</v>
      </c>
      <c r="K68" s="87" t="s">
        <v>83</v>
      </c>
      <c r="L68" s="87" t="s">
        <v>3</v>
      </c>
      <c r="M68" s="32">
        <v>21630000</v>
      </c>
      <c r="N68" s="86" t="s">
        <v>847</v>
      </c>
      <c r="O68" s="86" t="s">
        <v>16</v>
      </c>
      <c r="P68" s="509">
        <v>2018011000319</v>
      </c>
      <c r="Q68" s="86" t="s">
        <v>951</v>
      </c>
      <c r="R68" s="32">
        <v>22660000</v>
      </c>
      <c r="S68" s="89" t="s">
        <v>197</v>
      </c>
      <c r="T68" s="87" t="s">
        <v>66</v>
      </c>
      <c r="U68" s="32">
        <v>0</v>
      </c>
      <c r="V68" s="105" t="s">
        <v>67</v>
      </c>
      <c r="W68" s="87" t="s">
        <v>68</v>
      </c>
      <c r="X68" s="87" t="s">
        <v>109</v>
      </c>
      <c r="Y68" s="101" t="s">
        <v>1018</v>
      </c>
      <c r="Z68" s="106" t="s">
        <v>110</v>
      </c>
      <c r="AA68" s="117" t="s">
        <v>67</v>
      </c>
      <c r="AB68" s="117"/>
      <c r="AC68" s="162"/>
      <c r="AD68" s="87"/>
      <c r="AE68" s="87"/>
      <c r="AF68" s="87"/>
      <c r="AG68" s="87"/>
      <c r="AH68" s="87"/>
    </row>
    <row r="69" spans="1:34" ht="24.95" customHeight="1" x14ac:dyDescent="0.25">
      <c r="A69" s="101" t="s">
        <v>1020</v>
      </c>
      <c r="B69" s="110" t="s">
        <v>58</v>
      </c>
      <c r="C69" s="110" t="s">
        <v>105</v>
      </c>
      <c r="D69" s="110" t="s">
        <v>94</v>
      </c>
      <c r="E69" s="87" t="s">
        <v>158</v>
      </c>
      <c r="F69" s="87" t="s">
        <v>420</v>
      </c>
      <c r="G69" s="88">
        <v>1</v>
      </c>
      <c r="H69" s="88">
        <v>1</v>
      </c>
      <c r="I69" s="88">
        <v>10</v>
      </c>
      <c r="J69" s="88">
        <v>15</v>
      </c>
      <c r="K69" s="87" t="s">
        <v>83</v>
      </c>
      <c r="L69" s="87" t="s">
        <v>3</v>
      </c>
      <c r="M69" s="32">
        <v>20974545</v>
      </c>
      <c r="N69" s="86" t="s">
        <v>847</v>
      </c>
      <c r="O69" s="86" t="s">
        <v>16</v>
      </c>
      <c r="P69" s="509">
        <v>2018011000319</v>
      </c>
      <c r="Q69" s="86" t="s">
        <v>951</v>
      </c>
      <c r="R69" s="32">
        <v>21973333</v>
      </c>
      <c r="S69" s="89" t="s">
        <v>197</v>
      </c>
      <c r="T69" s="87" t="s">
        <v>66</v>
      </c>
      <c r="U69" s="32">
        <v>0</v>
      </c>
      <c r="V69" s="105" t="s">
        <v>67</v>
      </c>
      <c r="W69" s="87" t="s">
        <v>68</v>
      </c>
      <c r="X69" s="87" t="s">
        <v>109</v>
      </c>
      <c r="Y69" s="101" t="s">
        <v>1021</v>
      </c>
      <c r="Z69" s="106" t="s">
        <v>110</v>
      </c>
      <c r="AA69" s="117" t="s">
        <v>67</v>
      </c>
      <c r="AB69" s="117"/>
      <c r="AC69" s="162"/>
      <c r="AD69" s="87"/>
      <c r="AE69" s="87"/>
      <c r="AF69" s="87"/>
      <c r="AG69" s="87"/>
      <c r="AH69" s="87"/>
    </row>
    <row r="70" spans="1:34" ht="24.95" customHeight="1" x14ac:dyDescent="0.25">
      <c r="A70" s="227">
        <v>43232609</v>
      </c>
      <c r="B70" s="298" t="s">
        <v>58</v>
      </c>
      <c r="C70" s="298" t="s">
        <v>105</v>
      </c>
      <c r="D70" s="298" t="s">
        <v>94</v>
      </c>
      <c r="E70" s="222" t="s">
        <v>114</v>
      </c>
      <c r="F70" s="222" t="s">
        <v>1022</v>
      </c>
      <c r="G70" s="223">
        <v>8</v>
      </c>
      <c r="H70" s="223">
        <v>8</v>
      </c>
      <c r="I70" s="223">
        <v>11</v>
      </c>
      <c r="J70" s="223">
        <v>25</v>
      </c>
      <c r="K70" s="222" t="s">
        <v>83</v>
      </c>
      <c r="L70" s="222" t="s">
        <v>3</v>
      </c>
      <c r="M70" s="224">
        <v>15980000</v>
      </c>
      <c r="N70" s="86" t="s">
        <v>847</v>
      </c>
      <c r="O70" s="86" t="s">
        <v>16</v>
      </c>
      <c r="P70" s="509">
        <v>2018011000319</v>
      </c>
      <c r="Q70" s="86" t="s">
        <v>951</v>
      </c>
      <c r="R70" s="224">
        <v>15980000</v>
      </c>
      <c r="S70" s="225" t="s">
        <v>111</v>
      </c>
      <c r="T70" s="222" t="s">
        <v>66</v>
      </c>
      <c r="U70" s="224">
        <v>0</v>
      </c>
      <c r="V70" s="226" t="s">
        <v>67</v>
      </c>
      <c r="W70" s="222" t="s">
        <v>68</v>
      </c>
      <c r="X70" s="222" t="s">
        <v>109</v>
      </c>
      <c r="Y70" s="227" t="s">
        <v>1023</v>
      </c>
      <c r="Z70" s="228" t="s">
        <v>110</v>
      </c>
      <c r="AA70" s="229" t="s">
        <v>67</v>
      </c>
      <c r="AB70" s="13"/>
      <c r="AC70" s="166"/>
      <c r="AD70" s="91"/>
      <c r="AE70" s="91"/>
      <c r="AF70" s="91"/>
      <c r="AG70" s="91"/>
      <c r="AH70" s="91"/>
    </row>
    <row r="71" spans="1:34" ht="24.95" customHeight="1" x14ac:dyDescent="0.25">
      <c r="A71" s="18" t="s">
        <v>160</v>
      </c>
      <c r="B71" s="36" t="s">
        <v>58</v>
      </c>
      <c r="C71" s="36" t="s">
        <v>105</v>
      </c>
      <c r="D71" s="36" t="s">
        <v>94</v>
      </c>
      <c r="E71" s="21" t="s">
        <v>114</v>
      </c>
      <c r="F71" s="21" t="s">
        <v>161</v>
      </c>
      <c r="G71" s="22">
        <v>9</v>
      </c>
      <c r="H71" s="22">
        <v>9</v>
      </c>
      <c r="I71" s="22">
        <v>11</v>
      </c>
      <c r="J71" s="22">
        <v>25</v>
      </c>
      <c r="K71" s="21" t="s">
        <v>83</v>
      </c>
      <c r="L71" s="21" t="s">
        <v>3</v>
      </c>
      <c r="M71" s="23">
        <v>13500000</v>
      </c>
      <c r="N71" s="86" t="s">
        <v>847</v>
      </c>
      <c r="O71" s="86" t="s">
        <v>16</v>
      </c>
      <c r="P71" s="509">
        <v>2018011000319</v>
      </c>
      <c r="Q71" s="86" t="s">
        <v>951</v>
      </c>
      <c r="R71" s="45">
        <v>13500000</v>
      </c>
      <c r="S71" s="86" t="s">
        <v>67</v>
      </c>
      <c r="T71" s="21" t="s">
        <v>66</v>
      </c>
      <c r="U71" s="23">
        <v>0</v>
      </c>
      <c r="V71" s="53" t="s">
        <v>67</v>
      </c>
      <c r="W71" s="21" t="s">
        <v>68</v>
      </c>
      <c r="X71" s="21" t="s">
        <v>109</v>
      </c>
      <c r="Y71" s="26" t="s">
        <v>1024</v>
      </c>
      <c r="Z71" s="52" t="s">
        <v>110</v>
      </c>
      <c r="AA71" s="13" t="s">
        <v>67</v>
      </c>
      <c r="AB71" s="13"/>
      <c r="AC71" s="163"/>
      <c r="AD71" s="21"/>
      <c r="AE71" s="21"/>
      <c r="AF71" s="21"/>
      <c r="AG71" s="21"/>
      <c r="AH71" s="21"/>
    </row>
    <row r="72" spans="1:34" ht="24.95" customHeight="1" x14ac:dyDescent="0.25">
      <c r="A72" s="482" t="s">
        <v>1025</v>
      </c>
      <c r="B72" s="483" t="s">
        <v>58</v>
      </c>
      <c r="C72" s="483" t="s">
        <v>105</v>
      </c>
      <c r="D72" s="483" t="s">
        <v>94</v>
      </c>
      <c r="E72" s="484" t="s">
        <v>1026</v>
      </c>
      <c r="F72" s="484" t="s">
        <v>1027</v>
      </c>
      <c r="G72" s="183">
        <v>4</v>
      </c>
      <c r="H72" s="183">
        <v>3</v>
      </c>
      <c r="I72" s="183">
        <v>3</v>
      </c>
      <c r="J72" s="183">
        <v>10</v>
      </c>
      <c r="K72" s="177" t="s">
        <v>83</v>
      </c>
      <c r="L72" s="115" t="s">
        <v>67</v>
      </c>
      <c r="M72" s="480">
        <f>52777690-52777690</f>
        <v>0</v>
      </c>
      <c r="N72" s="480"/>
      <c r="O72" s="480"/>
      <c r="P72" s="480"/>
      <c r="Q72" s="481"/>
      <c r="R72" s="179">
        <v>52777690</v>
      </c>
      <c r="S72" s="481" t="s">
        <v>63</v>
      </c>
      <c r="T72" s="484" t="s">
        <v>66</v>
      </c>
      <c r="U72" s="480">
        <v>0</v>
      </c>
      <c r="V72" s="485" t="s">
        <v>67</v>
      </c>
      <c r="W72" s="484" t="s">
        <v>68</v>
      </c>
      <c r="X72" s="484" t="s">
        <v>109</v>
      </c>
      <c r="Y72" s="486" t="s">
        <v>1028</v>
      </c>
      <c r="Z72" s="487" t="s">
        <v>110</v>
      </c>
      <c r="AA72" s="488" t="s">
        <v>67</v>
      </c>
      <c r="AB72" s="478"/>
      <c r="AC72" s="479"/>
      <c r="AD72" s="474"/>
      <c r="AE72" s="474"/>
      <c r="AF72" s="474"/>
      <c r="AG72" s="474"/>
      <c r="AH72" s="474"/>
    </row>
    <row r="73" spans="1:34" ht="24.95" customHeight="1" x14ac:dyDescent="0.25">
      <c r="A73" s="101">
        <v>44122005</v>
      </c>
      <c r="B73" s="110" t="s">
        <v>58</v>
      </c>
      <c r="C73" s="110" t="s">
        <v>105</v>
      </c>
      <c r="D73" s="110" t="s">
        <v>94</v>
      </c>
      <c r="E73" s="87" t="s">
        <v>1026</v>
      </c>
      <c r="F73" s="87" t="s">
        <v>1029</v>
      </c>
      <c r="G73" s="88">
        <v>11</v>
      </c>
      <c r="H73" s="88">
        <v>11</v>
      </c>
      <c r="I73" s="88">
        <v>1</v>
      </c>
      <c r="J73" s="88">
        <v>10</v>
      </c>
      <c r="K73" s="87" t="s">
        <v>154</v>
      </c>
      <c r="L73" s="115" t="s">
        <v>67</v>
      </c>
      <c r="M73" s="32">
        <v>0</v>
      </c>
      <c r="N73" s="32"/>
      <c r="O73" s="32"/>
      <c r="P73" s="32"/>
      <c r="Q73" s="89"/>
      <c r="R73" s="32">
        <v>5000000</v>
      </c>
      <c r="S73" s="89" t="s">
        <v>63</v>
      </c>
      <c r="T73" s="87" t="s">
        <v>66</v>
      </c>
      <c r="U73" s="32">
        <v>0</v>
      </c>
      <c r="V73" s="105" t="s">
        <v>67</v>
      </c>
      <c r="W73" s="87" t="s">
        <v>68</v>
      </c>
      <c r="X73" s="87" t="s">
        <v>109</v>
      </c>
      <c r="Y73" s="107" t="s">
        <v>1030</v>
      </c>
      <c r="Z73" s="106" t="s">
        <v>110</v>
      </c>
      <c r="AA73" s="117" t="s">
        <v>67</v>
      </c>
      <c r="AB73" s="117"/>
      <c r="AC73" s="162"/>
      <c r="AD73" s="87"/>
      <c r="AE73" s="87"/>
      <c r="AF73" s="87"/>
      <c r="AG73" s="87"/>
      <c r="AH73" s="87"/>
    </row>
    <row r="74" spans="1:34" s="33" customFormat="1" ht="24.95" customHeight="1" x14ac:dyDescent="0.25">
      <c r="A74" s="235">
        <v>0</v>
      </c>
      <c r="B74" s="299" t="s">
        <v>58</v>
      </c>
      <c r="C74" s="299" t="s">
        <v>105</v>
      </c>
      <c r="D74" s="299" t="s">
        <v>94</v>
      </c>
      <c r="E74" s="230" t="s">
        <v>1026</v>
      </c>
      <c r="F74" s="230" t="s">
        <v>1031</v>
      </c>
      <c r="G74" s="231">
        <v>1</v>
      </c>
      <c r="H74" s="231">
        <v>1</v>
      </c>
      <c r="I74" s="231">
        <v>0</v>
      </c>
      <c r="J74" s="231">
        <v>0</v>
      </c>
      <c r="K74" s="230">
        <v>0</v>
      </c>
      <c r="L74" s="115" t="s">
        <v>67</v>
      </c>
      <c r="M74" s="232">
        <v>0</v>
      </c>
      <c r="N74" s="232"/>
      <c r="O74" s="232"/>
      <c r="P74" s="232"/>
      <c r="Q74" s="233"/>
      <c r="R74" s="232">
        <v>0</v>
      </c>
      <c r="S74" s="233" t="s">
        <v>63</v>
      </c>
      <c r="T74" s="230" t="s">
        <v>66</v>
      </c>
      <c r="U74" s="232">
        <v>0</v>
      </c>
      <c r="V74" s="234" t="s">
        <v>67</v>
      </c>
      <c r="W74" s="230" t="s">
        <v>68</v>
      </c>
      <c r="X74" s="230" t="s">
        <v>67</v>
      </c>
      <c r="Y74" s="235">
        <v>3422121</v>
      </c>
      <c r="Z74" s="236"/>
      <c r="AA74" s="229" t="s">
        <v>67</v>
      </c>
      <c r="AB74" s="174"/>
      <c r="AC74" s="167"/>
      <c r="AD74" s="66"/>
      <c r="AE74" s="66"/>
      <c r="AF74" s="66"/>
      <c r="AG74" s="66"/>
      <c r="AH74" s="66"/>
    </row>
    <row r="75" spans="1:34" s="34" customFormat="1" ht="24.95" customHeight="1" x14ac:dyDescent="0.25">
      <c r="A75" s="157">
        <v>0</v>
      </c>
      <c r="B75" s="300" t="s">
        <v>471</v>
      </c>
      <c r="C75" s="300" t="s">
        <v>1032</v>
      </c>
      <c r="D75" s="300" t="s">
        <v>281</v>
      </c>
      <c r="E75" s="57" t="s">
        <v>1032</v>
      </c>
      <c r="F75" s="57" t="s">
        <v>1033</v>
      </c>
      <c r="G75" s="84">
        <v>0</v>
      </c>
      <c r="H75" s="84">
        <v>0</v>
      </c>
      <c r="I75" s="84">
        <v>0</v>
      </c>
      <c r="J75" s="84">
        <v>0</v>
      </c>
      <c r="K75" s="57">
        <v>0</v>
      </c>
      <c r="L75" s="115" t="s">
        <v>67</v>
      </c>
      <c r="M75" s="58">
        <v>0</v>
      </c>
      <c r="N75" s="58"/>
      <c r="O75" s="58"/>
      <c r="P75" s="58"/>
      <c r="Q75" s="515"/>
      <c r="R75" s="45">
        <v>0</v>
      </c>
      <c r="S75" s="686" t="s">
        <v>63</v>
      </c>
      <c r="T75" s="21" t="s">
        <v>66</v>
      </c>
      <c r="U75" s="23">
        <v>0</v>
      </c>
      <c r="V75" s="21" t="s">
        <v>67</v>
      </c>
      <c r="W75" s="21" t="s">
        <v>68</v>
      </c>
      <c r="X75" s="57" t="s">
        <v>67</v>
      </c>
      <c r="Y75" s="156">
        <v>3422121</v>
      </c>
      <c r="Z75" s="59"/>
      <c r="AA75" s="13" t="s">
        <v>67</v>
      </c>
      <c r="AB75" s="175"/>
      <c r="AC75" s="168"/>
      <c r="AD75" s="57"/>
      <c r="AE75" s="57"/>
      <c r="AF75" s="57"/>
      <c r="AG75" s="57"/>
      <c r="AH75" s="57"/>
    </row>
    <row r="76" spans="1:34" s="34" customFormat="1" ht="24.95" customHeight="1" x14ac:dyDescent="0.25">
      <c r="A76" s="157">
        <v>0</v>
      </c>
      <c r="B76" s="300" t="s">
        <v>471</v>
      </c>
      <c r="C76" s="300" t="s">
        <v>1032</v>
      </c>
      <c r="D76" s="300" t="s">
        <v>281</v>
      </c>
      <c r="E76" s="57" t="s">
        <v>1032</v>
      </c>
      <c r="F76" s="57" t="s">
        <v>1034</v>
      </c>
      <c r="G76" s="84">
        <v>0</v>
      </c>
      <c r="H76" s="84">
        <v>0</v>
      </c>
      <c r="I76" s="84">
        <v>0</v>
      </c>
      <c r="J76" s="84">
        <v>0</v>
      </c>
      <c r="K76" s="57">
        <v>0</v>
      </c>
      <c r="L76" s="115" t="s">
        <v>67</v>
      </c>
      <c r="M76" s="58">
        <v>0</v>
      </c>
      <c r="N76" s="58"/>
      <c r="O76" s="58"/>
      <c r="P76" s="58"/>
      <c r="Q76" s="515"/>
      <c r="R76" s="45">
        <v>0</v>
      </c>
      <c r="S76" s="686" t="s">
        <v>63</v>
      </c>
      <c r="T76" s="21" t="s">
        <v>66</v>
      </c>
      <c r="U76" s="23">
        <v>0</v>
      </c>
      <c r="V76" s="21" t="s">
        <v>67</v>
      </c>
      <c r="W76" s="21" t="s">
        <v>68</v>
      </c>
      <c r="X76" s="57" t="s">
        <v>67</v>
      </c>
      <c r="Y76" s="157">
        <v>3422121</v>
      </c>
      <c r="Z76" s="59"/>
      <c r="AA76" s="13" t="s">
        <v>67</v>
      </c>
      <c r="AB76" s="175"/>
      <c r="AC76" s="168"/>
      <c r="AD76" s="57"/>
      <c r="AE76" s="57"/>
      <c r="AF76" s="57"/>
      <c r="AG76" s="57"/>
      <c r="AH76" s="57"/>
    </row>
    <row r="77" spans="1:34" s="34" customFormat="1" ht="24.95" customHeight="1" x14ac:dyDescent="0.25">
      <c r="A77" s="157">
        <v>0</v>
      </c>
      <c r="B77" s="300" t="s">
        <v>471</v>
      </c>
      <c r="C77" s="300" t="s">
        <v>1032</v>
      </c>
      <c r="D77" s="300" t="s">
        <v>281</v>
      </c>
      <c r="E77" s="57" t="s">
        <v>1032</v>
      </c>
      <c r="F77" s="57" t="s">
        <v>1035</v>
      </c>
      <c r="G77" s="84">
        <v>0</v>
      </c>
      <c r="H77" s="84">
        <v>0</v>
      </c>
      <c r="I77" s="84">
        <v>0</v>
      </c>
      <c r="J77" s="84">
        <v>0</v>
      </c>
      <c r="K77" s="57">
        <v>0</v>
      </c>
      <c r="L77" s="115" t="s">
        <v>67</v>
      </c>
      <c r="M77" s="58">
        <v>0</v>
      </c>
      <c r="N77" s="58"/>
      <c r="O77" s="58"/>
      <c r="P77" s="58"/>
      <c r="Q77" s="515"/>
      <c r="R77" s="45">
        <v>0</v>
      </c>
      <c r="S77" s="686" t="s">
        <v>63</v>
      </c>
      <c r="T77" s="21" t="s">
        <v>66</v>
      </c>
      <c r="U77" s="23">
        <v>0</v>
      </c>
      <c r="V77" s="21" t="s">
        <v>67</v>
      </c>
      <c r="W77" s="21" t="s">
        <v>68</v>
      </c>
      <c r="X77" s="57" t="s">
        <v>67</v>
      </c>
      <c r="Y77" s="157">
        <v>3422121</v>
      </c>
      <c r="Z77" s="59"/>
      <c r="AA77" s="13" t="s">
        <v>67</v>
      </c>
      <c r="AB77" s="175"/>
      <c r="AC77" s="168"/>
      <c r="AD77" s="57"/>
      <c r="AE77" s="57"/>
      <c r="AF77" s="57"/>
      <c r="AG77" s="57"/>
      <c r="AH77" s="57"/>
    </row>
    <row r="78" spans="1:34" s="34" customFormat="1" ht="24.95" customHeight="1" x14ac:dyDescent="0.25">
      <c r="A78" s="157">
        <v>0</v>
      </c>
      <c r="B78" s="300" t="s">
        <v>471</v>
      </c>
      <c r="C78" s="300" t="s">
        <v>1032</v>
      </c>
      <c r="D78" s="300" t="s">
        <v>281</v>
      </c>
      <c r="E78" s="57" t="s">
        <v>1032</v>
      </c>
      <c r="F78" s="57" t="s">
        <v>1036</v>
      </c>
      <c r="G78" s="84">
        <v>0</v>
      </c>
      <c r="H78" s="84">
        <v>0</v>
      </c>
      <c r="I78" s="84">
        <v>0</v>
      </c>
      <c r="J78" s="84">
        <v>0</v>
      </c>
      <c r="K78" s="57">
        <v>0</v>
      </c>
      <c r="L78" s="115" t="s">
        <v>67</v>
      </c>
      <c r="M78" s="58">
        <v>0</v>
      </c>
      <c r="N78" s="58"/>
      <c r="O78" s="58"/>
      <c r="P78" s="58"/>
      <c r="Q78" s="515"/>
      <c r="R78" s="45">
        <v>0</v>
      </c>
      <c r="S78" s="686" t="s">
        <v>63</v>
      </c>
      <c r="T78" s="21" t="s">
        <v>66</v>
      </c>
      <c r="U78" s="23">
        <v>0</v>
      </c>
      <c r="V78" s="21" t="s">
        <v>67</v>
      </c>
      <c r="W78" s="21" t="s">
        <v>68</v>
      </c>
      <c r="X78" s="57" t="s">
        <v>67</v>
      </c>
      <c r="Y78" s="157">
        <v>3422121</v>
      </c>
      <c r="Z78" s="59"/>
      <c r="AA78" s="13" t="s">
        <v>67</v>
      </c>
      <c r="AB78" s="175"/>
      <c r="AC78" s="168"/>
      <c r="AD78" s="57"/>
      <c r="AE78" s="57"/>
      <c r="AF78" s="57"/>
      <c r="AG78" s="57"/>
      <c r="AH78" s="57"/>
    </row>
    <row r="79" spans="1:34" s="34" customFormat="1" ht="24.95" customHeight="1" x14ac:dyDescent="0.25">
      <c r="A79" s="157">
        <v>0</v>
      </c>
      <c r="B79" s="300" t="s">
        <v>471</v>
      </c>
      <c r="C79" s="300" t="s">
        <v>1032</v>
      </c>
      <c r="D79" s="300" t="s">
        <v>281</v>
      </c>
      <c r="E79" s="57" t="s">
        <v>1032</v>
      </c>
      <c r="F79" s="57" t="s">
        <v>1037</v>
      </c>
      <c r="G79" s="84">
        <v>0</v>
      </c>
      <c r="H79" s="84">
        <v>0</v>
      </c>
      <c r="I79" s="84">
        <v>0</v>
      </c>
      <c r="J79" s="84">
        <v>0</v>
      </c>
      <c r="K79" s="57">
        <v>0</v>
      </c>
      <c r="L79" s="115" t="s">
        <v>67</v>
      </c>
      <c r="M79" s="58">
        <v>0</v>
      </c>
      <c r="N79" s="58"/>
      <c r="O79" s="58"/>
      <c r="P79" s="58"/>
      <c r="Q79" s="515"/>
      <c r="R79" s="45">
        <v>0</v>
      </c>
      <c r="S79" s="686" t="s">
        <v>63</v>
      </c>
      <c r="T79" s="21" t="s">
        <v>66</v>
      </c>
      <c r="U79" s="23">
        <v>0</v>
      </c>
      <c r="V79" s="21" t="s">
        <v>67</v>
      </c>
      <c r="W79" s="21" t="s">
        <v>68</v>
      </c>
      <c r="X79" s="57" t="s">
        <v>67</v>
      </c>
      <c r="Y79" s="157">
        <v>3422121</v>
      </c>
      <c r="Z79" s="59"/>
      <c r="AA79" s="13" t="s">
        <v>67</v>
      </c>
      <c r="AB79" s="175"/>
      <c r="AC79" s="168"/>
      <c r="AD79" s="57"/>
      <c r="AE79" s="57"/>
      <c r="AF79" s="57"/>
      <c r="AG79" s="57"/>
      <c r="AH79" s="57"/>
    </row>
    <row r="80" spans="1:34" s="34" customFormat="1" ht="24.95" customHeight="1" x14ac:dyDescent="0.25">
      <c r="A80" s="157">
        <v>0</v>
      </c>
      <c r="B80" s="300" t="s">
        <v>471</v>
      </c>
      <c r="C80" s="300" t="s">
        <v>1032</v>
      </c>
      <c r="D80" s="300" t="s">
        <v>281</v>
      </c>
      <c r="E80" s="57" t="s">
        <v>1032</v>
      </c>
      <c r="F80" s="57" t="s">
        <v>1038</v>
      </c>
      <c r="G80" s="84">
        <v>0</v>
      </c>
      <c r="H80" s="84">
        <v>0</v>
      </c>
      <c r="I80" s="84">
        <v>0</v>
      </c>
      <c r="J80" s="84">
        <v>0</v>
      </c>
      <c r="K80" s="57">
        <v>0</v>
      </c>
      <c r="L80" s="115" t="s">
        <v>67</v>
      </c>
      <c r="M80" s="58">
        <v>0</v>
      </c>
      <c r="N80" s="58"/>
      <c r="O80" s="58"/>
      <c r="P80" s="58"/>
      <c r="Q80" s="515"/>
      <c r="R80" s="45">
        <v>0</v>
      </c>
      <c r="S80" s="686" t="s">
        <v>63</v>
      </c>
      <c r="T80" s="21" t="s">
        <v>66</v>
      </c>
      <c r="U80" s="23">
        <v>0</v>
      </c>
      <c r="V80" s="21" t="s">
        <v>67</v>
      </c>
      <c r="W80" s="21" t="s">
        <v>68</v>
      </c>
      <c r="X80" s="57" t="s">
        <v>67</v>
      </c>
      <c r="Y80" s="157">
        <v>3422121</v>
      </c>
      <c r="Z80" s="59"/>
      <c r="AA80" s="13" t="s">
        <v>67</v>
      </c>
      <c r="AB80" s="175"/>
      <c r="AC80" s="168"/>
      <c r="AD80" s="57"/>
      <c r="AE80" s="57"/>
      <c r="AF80" s="57"/>
      <c r="AG80" s="57"/>
      <c r="AH80" s="57"/>
    </row>
    <row r="81" spans="1:34" s="34" customFormat="1" ht="24.95" customHeight="1" x14ac:dyDescent="0.25">
      <c r="A81" s="128">
        <v>0</v>
      </c>
      <c r="B81" s="294" t="s">
        <v>270</v>
      </c>
      <c r="C81" s="294" t="s">
        <v>287</v>
      </c>
      <c r="D81" s="144" t="s">
        <v>163</v>
      </c>
      <c r="E81" s="69" t="s">
        <v>1039</v>
      </c>
      <c r="F81" s="69" t="s">
        <v>1040</v>
      </c>
      <c r="G81" s="129">
        <v>0</v>
      </c>
      <c r="H81" s="129">
        <v>0</v>
      </c>
      <c r="I81" s="129">
        <v>0</v>
      </c>
      <c r="J81" s="129">
        <v>0</v>
      </c>
      <c r="K81" s="69">
        <v>0</v>
      </c>
      <c r="L81" s="115" t="s">
        <v>67</v>
      </c>
      <c r="M81" s="119">
        <v>0</v>
      </c>
      <c r="N81" s="119"/>
      <c r="O81" s="119"/>
      <c r="P81" s="119"/>
      <c r="Q81" s="143"/>
      <c r="R81" s="119">
        <v>0</v>
      </c>
      <c r="S81" s="699" t="s">
        <v>63</v>
      </c>
      <c r="T81" s="69" t="s">
        <v>66</v>
      </c>
      <c r="U81" s="119">
        <v>0</v>
      </c>
      <c r="V81" s="69" t="s">
        <v>67</v>
      </c>
      <c r="W81" s="69" t="s">
        <v>68</v>
      </c>
      <c r="X81" s="69" t="s">
        <v>67</v>
      </c>
      <c r="Y81" s="128">
        <v>3422121</v>
      </c>
      <c r="Z81" s="121"/>
      <c r="AA81" s="70" t="s">
        <v>67</v>
      </c>
      <c r="AB81" s="70"/>
      <c r="AC81" s="69"/>
      <c r="AD81" s="69"/>
      <c r="AE81" s="69"/>
      <c r="AF81" s="69"/>
      <c r="AG81" s="69"/>
      <c r="AH81" s="69"/>
    </row>
    <row r="82" spans="1:34" s="34" customFormat="1" ht="24.95" customHeight="1" x14ac:dyDescent="0.25">
      <c r="A82" s="128">
        <v>0</v>
      </c>
      <c r="B82" s="294" t="s">
        <v>270</v>
      </c>
      <c r="C82" s="294" t="s">
        <v>287</v>
      </c>
      <c r="D82" s="144" t="s">
        <v>163</v>
      </c>
      <c r="E82" s="69" t="s">
        <v>1039</v>
      </c>
      <c r="F82" s="69" t="s">
        <v>1041</v>
      </c>
      <c r="G82" s="129">
        <v>0</v>
      </c>
      <c r="H82" s="129">
        <v>0</v>
      </c>
      <c r="I82" s="129">
        <v>0</v>
      </c>
      <c r="J82" s="129">
        <v>0</v>
      </c>
      <c r="K82" s="69">
        <v>0</v>
      </c>
      <c r="L82" s="115" t="s">
        <v>67</v>
      </c>
      <c r="M82" s="119">
        <v>0</v>
      </c>
      <c r="N82" s="119"/>
      <c r="O82" s="119"/>
      <c r="P82" s="119"/>
      <c r="Q82" s="143"/>
      <c r="R82" s="119">
        <v>0</v>
      </c>
      <c r="S82" s="699" t="s">
        <v>63</v>
      </c>
      <c r="T82" s="69" t="s">
        <v>66</v>
      </c>
      <c r="U82" s="119">
        <v>0</v>
      </c>
      <c r="V82" s="69" t="s">
        <v>67</v>
      </c>
      <c r="W82" s="69" t="s">
        <v>68</v>
      </c>
      <c r="X82" s="69" t="s">
        <v>67</v>
      </c>
      <c r="Y82" s="128">
        <v>3422121</v>
      </c>
      <c r="Z82" s="121"/>
      <c r="AA82" s="70" t="s">
        <v>67</v>
      </c>
      <c r="AB82" s="70"/>
      <c r="AC82" s="69"/>
      <c r="AD82" s="69"/>
      <c r="AE82" s="69"/>
      <c r="AF82" s="69"/>
      <c r="AG82" s="69"/>
      <c r="AH82" s="69"/>
    </row>
    <row r="83" spans="1:34" s="34" customFormat="1" ht="24.95" customHeight="1" x14ac:dyDescent="0.25">
      <c r="A83" s="128">
        <v>0</v>
      </c>
      <c r="B83" s="294" t="s">
        <v>270</v>
      </c>
      <c r="C83" s="294" t="s">
        <v>287</v>
      </c>
      <c r="D83" s="144" t="s">
        <v>163</v>
      </c>
      <c r="E83" s="69" t="s">
        <v>1039</v>
      </c>
      <c r="F83" s="69" t="s">
        <v>1042</v>
      </c>
      <c r="G83" s="129">
        <v>0</v>
      </c>
      <c r="H83" s="129">
        <v>0</v>
      </c>
      <c r="I83" s="129">
        <v>0</v>
      </c>
      <c r="J83" s="129">
        <v>0</v>
      </c>
      <c r="K83" s="69">
        <v>0</v>
      </c>
      <c r="L83" s="115" t="s">
        <v>67</v>
      </c>
      <c r="M83" s="119">
        <v>0</v>
      </c>
      <c r="N83" s="119"/>
      <c r="O83" s="119"/>
      <c r="P83" s="119"/>
      <c r="Q83" s="143"/>
      <c r="R83" s="119">
        <v>0</v>
      </c>
      <c r="S83" s="699" t="s">
        <v>63</v>
      </c>
      <c r="T83" s="69" t="s">
        <v>66</v>
      </c>
      <c r="U83" s="119">
        <v>0</v>
      </c>
      <c r="V83" s="69" t="s">
        <v>67</v>
      </c>
      <c r="W83" s="69" t="s">
        <v>68</v>
      </c>
      <c r="X83" s="69" t="s">
        <v>67</v>
      </c>
      <c r="Y83" s="128">
        <v>3422121</v>
      </c>
      <c r="Z83" s="121"/>
      <c r="AA83" s="70" t="s">
        <v>67</v>
      </c>
      <c r="AB83" s="70"/>
      <c r="AC83" s="69"/>
      <c r="AD83" s="69"/>
      <c r="AE83" s="69"/>
      <c r="AF83" s="69"/>
      <c r="AG83" s="69"/>
      <c r="AH83" s="69"/>
    </row>
    <row r="84" spans="1:34" s="34" customFormat="1" ht="24.95" customHeight="1" x14ac:dyDescent="0.25">
      <c r="A84" s="128">
        <v>0</v>
      </c>
      <c r="B84" s="294" t="s">
        <v>270</v>
      </c>
      <c r="C84" s="294" t="s">
        <v>287</v>
      </c>
      <c r="D84" s="144" t="s">
        <v>163</v>
      </c>
      <c r="E84" s="69" t="s">
        <v>1039</v>
      </c>
      <c r="F84" s="69" t="s">
        <v>1043</v>
      </c>
      <c r="G84" s="129">
        <v>0</v>
      </c>
      <c r="H84" s="129">
        <v>0</v>
      </c>
      <c r="I84" s="129">
        <v>0</v>
      </c>
      <c r="J84" s="129">
        <v>0</v>
      </c>
      <c r="K84" s="69">
        <v>0</v>
      </c>
      <c r="L84" s="115" t="s">
        <v>67</v>
      </c>
      <c r="M84" s="119">
        <v>0</v>
      </c>
      <c r="N84" s="119"/>
      <c r="O84" s="119"/>
      <c r="P84" s="119"/>
      <c r="Q84" s="143"/>
      <c r="R84" s="119">
        <v>0</v>
      </c>
      <c r="S84" s="699" t="s">
        <v>63</v>
      </c>
      <c r="T84" s="69" t="s">
        <v>66</v>
      </c>
      <c r="U84" s="119">
        <v>0</v>
      </c>
      <c r="V84" s="69" t="s">
        <v>67</v>
      </c>
      <c r="W84" s="69" t="s">
        <v>68</v>
      </c>
      <c r="X84" s="69" t="s">
        <v>67</v>
      </c>
      <c r="Y84" s="128">
        <v>3422121</v>
      </c>
      <c r="Z84" s="121"/>
      <c r="AA84" s="70" t="s">
        <v>67</v>
      </c>
      <c r="AB84" s="70"/>
      <c r="AC84" s="69"/>
      <c r="AD84" s="69"/>
      <c r="AE84" s="69"/>
      <c r="AF84" s="69"/>
      <c r="AG84" s="69"/>
      <c r="AH84" s="69"/>
    </row>
    <row r="85" spans="1:34" s="34" customFormat="1" ht="24.95" customHeight="1" x14ac:dyDescent="0.25">
      <c r="A85" s="128">
        <v>0</v>
      </c>
      <c r="B85" s="294" t="s">
        <v>270</v>
      </c>
      <c r="C85" s="294" t="s">
        <v>287</v>
      </c>
      <c r="D85" s="144" t="s">
        <v>163</v>
      </c>
      <c r="E85" s="69" t="s">
        <v>1039</v>
      </c>
      <c r="F85" s="69" t="s">
        <v>1044</v>
      </c>
      <c r="G85" s="129">
        <v>0</v>
      </c>
      <c r="H85" s="129">
        <v>0</v>
      </c>
      <c r="I85" s="129">
        <v>0</v>
      </c>
      <c r="J85" s="129">
        <v>0</v>
      </c>
      <c r="K85" s="69">
        <v>0</v>
      </c>
      <c r="L85" s="115" t="s">
        <v>67</v>
      </c>
      <c r="M85" s="119">
        <v>0</v>
      </c>
      <c r="N85" s="119"/>
      <c r="O85" s="119"/>
      <c r="P85" s="119"/>
      <c r="Q85" s="143"/>
      <c r="R85" s="119">
        <v>0</v>
      </c>
      <c r="S85" s="699" t="s">
        <v>63</v>
      </c>
      <c r="T85" s="69" t="s">
        <v>66</v>
      </c>
      <c r="U85" s="119">
        <v>0</v>
      </c>
      <c r="V85" s="69" t="s">
        <v>67</v>
      </c>
      <c r="W85" s="69" t="s">
        <v>68</v>
      </c>
      <c r="X85" s="69" t="s">
        <v>67</v>
      </c>
      <c r="Y85" s="128">
        <v>3422121</v>
      </c>
      <c r="Z85" s="121"/>
      <c r="AA85" s="70" t="s">
        <v>67</v>
      </c>
      <c r="AB85" s="70"/>
      <c r="AC85" s="69"/>
      <c r="AD85" s="69"/>
      <c r="AE85" s="69"/>
      <c r="AF85" s="69"/>
      <c r="AG85" s="69"/>
      <c r="AH85" s="69"/>
    </row>
    <row r="86" spans="1:34" s="34" customFormat="1" ht="24.95" customHeight="1" x14ac:dyDescent="0.25">
      <c r="A86" s="128">
        <v>0</v>
      </c>
      <c r="B86" s="294" t="s">
        <v>270</v>
      </c>
      <c r="C86" s="294" t="s">
        <v>287</v>
      </c>
      <c r="D86" s="144" t="s">
        <v>163</v>
      </c>
      <c r="E86" s="69" t="s">
        <v>1039</v>
      </c>
      <c r="F86" s="69" t="s">
        <v>1045</v>
      </c>
      <c r="G86" s="129">
        <v>0</v>
      </c>
      <c r="H86" s="129">
        <v>0</v>
      </c>
      <c r="I86" s="129">
        <v>0</v>
      </c>
      <c r="J86" s="129">
        <v>0</v>
      </c>
      <c r="K86" s="69">
        <v>0</v>
      </c>
      <c r="L86" s="115" t="s">
        <v>67</v>
      </c>
      <c r="M86" s="119">
        <v>0</v>
      </c>
      <c r="N86" s="119"/>
      <c r="O86" s="119"/>
      <c r="P86" s="119"/>
      <c r="Q86" s="143"/>
      <c r="R86" s="119">
        <v>0</v>
      </c>
      <c r="S86" s="699" t="s">
        <v>63</v>
      </c>
      <c r="T86" s="69" t="s">
        <v>66</v>
      </c>
      <c r="U86" s="119">
        <v>0</v>
      </c>
      <c r="V86" s="69" t="s">
        <v>67</v>
      </c>
      <c r="W86" s="69" t="s">
        <v>68</v>
      </c>
      <c r="X86" s="69" t="s">
        <v>67</v>
      </c>
      <c r="Y86" s="128">
        <v>3422121</v>
      </c>
      <c r="Z86" s="121"/>
      <c r="AA86" s="70" t="s">
        <v>67</v>
      </c>
      <c r="AB86" s="70"/>
      <c r="AC86" s="69"/>
      <c r="AD86" s="69"/>
      <c r="AE86" s="69"/>
      <c r="AF86" s="69"/>
      <c r="AG86" s="69"/>
      <c r="AH86" s="69"/>
    </row>
    <row r="87" spans="1:34" s="34" customFormat="1" ht="24.95" customHeight="1" x14ac:dyDescent="0.25">
      <c r="A87" s="128">
        <v>0</v>
      </c>
      <c r="B87" s="294" t="s">
        <v>270</v>
      </c>
      <c r="C87" s="294" t="s">
        <v>287</v>
      </c>
      <c r="D87" s="144" t="s">
        <v>163</v>
      </c>
      <c r="E87" s="69" t="s">
        <v>1039</v>
      </c>
      <c r="F87" s="69" t="s">
        <v>1046</v>
      </c>
      <c r="G87" s="129">
        <v>0</v>
      </c>
      <c r="H87" s="129">
        <v>0</v>
      </c>
      <c r="I87" s="129">
        <v>0</v>
      </c>
      <c r="J87" s="129">
        <v>0</v>
      </c>
      <c r="K87" s="69">
        <v>0</v>
      </c>
      <c r="L87" s="115" t="s">
        <v>67</v>
      </c>
      <c r="M87" s="119">
        <v>0</v>
      </c>
      <c r="N87" s="119"/>
      <c r="O87" s="119"/>
      <c r="P87" s="119"/>
      <c r="Q87" s="143"/>
      <c r="R87" s="119">
        <v>0</v>
      </c>
      <c r="S87" s="699" t="s">
        <v>63</v>
      </c>
      <c r="T87" s="69" t="s">
        <v>66</v>
      </c>
      <c r="U87" s="119">
        <v>0</v>
      </c>
      <c r="V87" s="69" t="s">
        <v>67</v>
      </c>
      <c r="W87" s="69" t="s">
        <v>68</v>
      </c>
      <c r="X87" s="69" t="s">
        <v>67</v>
      </c>
      <c r="Y87" s="128">
        <v>3422121</v>
      </c>
      <c r="Z87" s="121"/>
      <c r="AA87" s="70" t="s">
        <v>67</v>
      </c>
      <c r="AB87" s="70"/>
      <c r="AC87" s="69"/>
      <c r="AD87" s="69"/>
      <c r="AE87" s="69"/>
      <c r="AF87" s="69"/>
      <c r="AG87" s="69"/>
      <c r="AH87" s="69"/>
    </row>
    <row r="88" spans="1:34" ht="24.95" customHeight="1" x14ac:dyDescent="0.25">
      <c r="A88" s="101">
        <v>83121700</v>
      </c>
      <c r="B88" s="110" t="s">
        <v>58</v>
      </c>
      <c r="C88" s="110" t="s">
        <v>162</v>
      </c>
      <c r="D88" s="301" t="s">
        <v>163</v>
      </c>
      <c r="E88" s="87" t="s">
        <v>164</v>
      </c>
      <c r="F88" s="19" t="s">
        <v>415</v>
      </c>
      <c r="G88" s="113">
        <v>1</v>
      </c>
      <c r="H88" s="88">
        <v>1</v>
      </c>
      <c r="I88" s="88">
        <v>8</v>
      </c>
      <c r="J88" s="88"/>
      <c r="K88" s="87" t="s">
        <v>83</v>
      </c>
      <c r="L88" s="87" t="s">
        <v>3</v>
      </c>
      <c r="M88" s="32">
        <f>(78578535/11)*8</f>
        <v>57148025.454545453</v>
      </c>
      <c r="N88" s="89" t="s">
        <v>877</v>
      </c>
      <c r="O88" s="89" t="s">
        <v>5</v>
      </c>
      <c r="P88" s="510">
        <v>201891000290</v>
      </c>
      <c r="Q88" s="89" t="s">
        <v>949</v>
      </c>
      <c r="R88" s="32">
        <v>73520370</v>
      </c>
      <c r="S88" s="89" t="s">
        <v>416</v>
      </c>
      <c r="T88" s="87" t="s">
        <v>66</v>
      </c>
      <c r="U88" s="32">
        <v>0</v>
      </c>
      <c r="V88" s="87" t="s">
        <v>67</v>
      </c>
      <c r="W88" s="87" t="s">
        <v>68</v>
      </c>
      <c r="X88" s="87" t="s">
        <v>121</v>
      </c>
      <c r="Y88" s="107" t="s">
        <v>956</v>
      </c>
      <c r="Z88" s="114" t="s">
        <v>957</v>
      </c>
      <c r="AA88" s="117" t="s">
        <v>67</v>
      </c>
      <c r="AB88" s="117"/>
      <c r="AC88" s="162"/>
      <c r="AD88" s="87"/>
      <c r="AE88" s="87"/>
      <c r="AF88" s="87"/>
      <c r="AG88" s="87"/>
      <c r="AH88" s="87"/>
    </row>
    <row r="89" spans="1:34" ht="24.95" customHeight="1" x14ac:dyDescent="0.25">
      <c r="A89" s="101">
        <v>83121703</v>
      </c>
      <c r="B89" s="110" t="s">
        <v>58</v>
      </c>
      <c r="C89" s="110" t="s">
        <v>162</v>
      </c>
      <c r="D89" s="301" t="s">
        <v>163</v>
      </c>
      <c r="E89" s="87" t="s">
        <v>164</v>
      </c>
      <c r="F89" s="19" t="s">
        <v>421</v>
      </c>
      <c r="G89" s="113">
        <v>1</v>
      </c>
      <c r="H89" s="88">
        <v>1</v>
      </c>
      <c r="I89" s="88">
        <v>10</v>
      </c>
      <c r="J89" s="88">
        <v>15</v>
      </c>
      <c r="K89" s="87" t="s">
        <v>83</v>
      </c>
      <c r="L89" s="87" t="s">
        <v>3</v>
      </c>
      <c r="M89" s="32">
        <v>50127525</v>
      </c>
      <c r="N89" s="89" t="s">
        <v>877</v>
      </c>
      <c r="O89" s="89" t="s">
        <v>5</v>
      </c>
      <c r="P89" s="510">
        <v>201891000290</v>
      </c>
      <c r="Q89" s="89" t="s">
        <v>949</v>
      </c>
      <c r="R89" s="32">
        <v>52514550</v>
      </c>
      <c r="S89" s="89" t="s">
        <v>197</v>
      </c>
      <c r="T89" s="87" t="s">
        <v>66</v>
      </c>
      <c r="U89" s="32">
        <v>0</v>
      </c>
      <c r="V89" s="87" t="s">
        <v>67</v>
      </c>
      <c r="W89" s="87" t="s">
        <v>68</v>
      </c>
      <c r="X89" s="87" t="s">
        <v>121</v>
      </c>
      <c r="Y89" s="107" t="s">
        <v>956</v>
      </c>
      <c r="Z89" s="114" t="s">
        <v>957</v>
      </c>
      <c r="AA89" s="117" t="s">
        <v>67</v>
      </c>
      <c r="AB89" s="117"/>
      <c r="AC89" s="162"/>
      <c r="AD89" s="87"/>
      <c r="AE89" s="87"/>
      <c r="AF89" s="87"/>
      <c r="AG89" s="87"/>
      <c r="AH89" s="87"/>
    </row>
    <row r="90" spans="1:34" ht="24.95" customHeight="1" x14ac:dyDescent="0.25">
      <c r="A90" s="101">
        <v>82141500</v>
      </c>
      <c r="B90" s="110" t="s">
        <v>58</v>
      </c>
      <c r="C90" s="110" t="s">
        <v>162</v>
      </c>
      <c r="D90" s="301" t="s">
        <v>163</v>
      </c>
      <c r="E90" s="87" t="s">
        <v>164</v>
      </c>
      <c r="F90" s="19" t="s">
        <v>422</v>
      </c>
      <c r="G90" s="113">
        <v>1</v>
      </c>
      <c r="H90" s="88">
        <v>1</v>
      </c>
      <c r="I90" s="88">
        <v>10</v>
      </c>
      <c r="J90" s="88">
        <v>15</v>
      </c>
      <c r="K90" s="87" t="s">
        <v>83</v>
      </c>
      <c r="L90" s="87" t="s">
        <v>3</v>
      </c>
      <c r="M90" s="32">
        <v>38319708</v>
      </c>
      <c r="N90" s="89" t="s">
        <v>877</v>
      </c>
      <c r="O90" s="89" t="s">
        <v>5</v>
      </c>
      <c r="P90" s="510">
        <v>201891000290</v>
      </c>
      <c r="Q90" s="89" t="s">
        <v>949</v>
      </c>
      <c r="R90" s="32">
        <v>40144456</v>
      </c>
      <c r="S90" s="89" t="s">
        <v>197</v>
      </c>
      <c r="T90" s="87" t="s">
        <v>66</v>
      </c>
      <c r="U90" s="32">
        <v>0</v>
      </c>
      <c r="V90" s="87" t="s">
        <v>67</v>
      </c>
      <c r="W90" s="87" t="s">
        <v>68</v>
      </c>
      <c r="X90" s="87" t="s">
        <v>121</v>
      </c>
      <c r="Y90" s="107" t="s">
        <v>956</v>
      </c>
      <c r="Z90" s="114" t="s">
        <v>957</v>
      </c>
      <c r="AA90" s="117" t="s">
        <v>67</v>
      </c>
      <c r="AB90" s="117"/>
      <c r="AC90" s="162"/>
      <c r="AD90" s="87"/>
      <c r="AE90" s="87"/>
      <c r="AF90" s="87"/>
      <c r="AG90" s="87"/>
      <c r="AH90" s="87"/>
    </row>
    <row r="91" spans="1:34" ht="24.95" customHeight="1" x14ac:dyDescent="0.25">
      <c r="A91" s="101">
        <v>83121703</v>
      </c>
      <c r="B91" s="110" t="s">
        <v>58</v>
      </c>
      <c r="C91" s="110" t="s">
        <v>162</v>
      </c>
      <c r="D91" s="301" t="s">
        <v>163</v>
      </c>
      <c r="E91" s="87" t="s">
        <v>164</v>
      </c>
      <c r="F91" s="19" t="s">
        <v>446</v>
      </c>
      <c r="G91" s="113">
        <v>1</v>
      </c>
      <c r="H91" s="88">
        <v>1</v>
      </c>
      <c r="I91" s="88">
        <v>11</v>
      </c>
      <c r="J91" s="88">
        <v>0</v>
      </c>
      <c r="K91" s="87" t="s">
        <v>83</v>
      </c>
      <c r="L91" s="87" t="s">
        <v>3</v>
      </c>
      <c r="M91" s="32">
        <v>38500000</v>
      </c>
      <c r="N91" s="89" t="s">
        <v>877</v>
      </c>
      <c r="O91" s="89" t="s">
        <v>5</v>
      </c>
      <c r="P91" s="510">
        <v>201891000290</v>
      </c>
      <c r="Q91" s="89" t="s">
        <v>949</v>
      </c>
      <c r="R91" s="32">
        <v>40788000</v>
      </c>
      <c r="S91" s="89" t="s">
        <v>447</v>
      </c>
      <c r="T91" s="87" t="s">
        <v>66</v>
      </c>
      <c r="U91" s="32">
        <v>0</v>
      </c>
      <c r="V91" s="87" t="s">
        <v>67</v>
      </c>
      <c r="W91" s="87" t="s">
        <v>68</v>
      </c>
      <c r="X91" s="87" t="s">
        <v>121</v>
      </c>
      <c r="Y91" s="107" t="s">
        <v>956</v>
      </c>
      <c r="Z91" s="114" t="s">
        <v>957</v>
      </c>
      <c r="AA91" s="117" t="s">
        <v>67</v>
      </c>
      <c r="AB91" s="117"/>
      <c r="AC91" s="162"/>
      <c r="AD91" s="87"/>
      <c r="AE91" s="87"/>
      <c r="AF91" s="87"/>
      <c r="AG91" s="87"/>
      <c r="AH91" s="87"/>
    </row>
    <row r="92" spans="1:34" ht="24.95" customHeight="1" x14ac:dyDescent="0.25">
      <c r="A92" s="101">
        <v>83121703</v>
      </c>
      <c r="B92" s="110" t="s">
        <v>58</v>
      </c>
      <c r="C92" s="110" t="s">
        <v>162</v>
      </c>
      <c r="D92" s="301" t="s">
        <v>163</v>
      </c>
      <c r="E92" s="87" t="s">
        <v>164</v>
      </c>
      <c r="F92" s="19" t="s">
        <v>417</v>
      </c>
      <c r="G92" s="113">
        <v>1</v>
      </c>
      <c r="H92" s="88">
        <v>1</v>
      </c>
      <c r="I92" s="88">
        <v>11</v>
      </c>
      <c r="J92" s="88">
        <v>0</v>
      </c>
      <c r="K92" s="87" t="s">
        <v>83</v>
      </c>
      <c r="L92" s="87" t="s">
        <v>3</v>
      </c>
      <c r="M92" s="32">
        <f>36740000-10199527</f>
        <v>26540473</v>
      </c>
      <c r="N92" s="89" t="s">
        <v>877</v>
      </c>
      <c r="O92" s="89" t="s">
        <v>5</v>
      </c>
      <c r="P92" s="510">
        <v>201891000290</v>
      </c>
      <c r="Q92" s="89" t="s">
        <v>949</v>
      </c>
      <c r="R92" s="32">
        <f>28325000</f>
        <v>28325000</v>
      </c>
      <c r="S92" s="89" t="s">
        <v>416</v>
      </c>
      <c r="T92" s="87" t="s">
        <v>66</v>
      </c>
      <c r="U92" s="32">
        <v>0</v>
      </c>
      <c r="V92" s="87" t="s">
        <v>67</v>
      </c>
      <c r="W92" s="87" t="s">
        <v>68</v>
      </c>
      <c r="X92" s="87" t="s">
        <v>121</v>
      </c>
      <c r="Y92" s="107" t="s">
        <v>956</v>
      </c>
      <c r="Z92" s="114" t="s">
        <v>957</v>
      </c>
      <c r="AA92" s="117" t="s">
        <v>67</v>
      </c>
      <c r="AB92" s="117"/>
      <c r="AC92" s="162"/>
      <c r="AD92" s="87"/>
      <c r="AE92" s="87"/>
      <c r="AF92" s="87"/>
      <c r="AG92" s="87"/>
      <c r="AH92" s="87"/>
    </row>
    <row r="93" spans="1:34" ht="24.95" customHeight="1" x14ac:dyDescent="0.25">
      <c r="A93" s="101">
        <v>83121703</v>
      </c>
      <c r="B93" s="110" t="s">
        <v>58</v>
      </c>
      <c r="C93" s="110" t="s">
        <v>162</v>
      </c>
      <c r="D93" s="301" t="s">
        <v>163</v>
      </c>
      <c r="E93" s="87" t="s">
        <v>164</v>
      </c>
      <c r="F93" s="19" t="s">
        <v>417</v>
      </c>
      <c r="G93" s="113"/>
      <c r="H93" s="88"/>
      <c r="I93" s="88"/>
      <c r="J93" s="88"/>
      <c r="K93" s="87"/>
      <c r="L93" s="87" t="s">
        <v>3</v>
      </c>
      <c r="M93" s="32">
        <v>10199527</v>
      </c>
      <c r="N93" s="89" t="s">
        <v>872</v>
      </c>
      <c r="O93" s="89" t="s">
        <v>7</v>
      </c>
      <c r="P93" s="510">
        <v>201891000290</v>
      </c>
      <c r="Q93" s="89" t="s">
        <v>949</v>
      </c>
      <c r="R93" s="32"/>
      <c r="S93" s="89" t="s">
        <v>416</v>
      </c>
      <c r="T93" s="87" t="s">
        <v>66</v>
      </c>
      <c r="U93" s="32">
        <v>0</v>
      </c>
      <c r="V93" s="87" t="s">
        <v>67</v>
      </c>
      <c r="W93" s="87" t="s">
        <v>68</v>
      </c>
      <c r="X93" s="87" t="s">
        <v>121</v>
      </c>
      <c r="Y93" s="107" t="s">
        <v>956</v>
      </c>
      <c r="Z93" s="114" t="s">
        <v>957</v>
      </c>
      <c r="AA93" s="117" t="s">
        <v>67</v>
      </c>
      <c r="AB93" s="117"/>
      <c r="AC93" s="162"/>
      <c r="AD93" s="87"/>
      <c r="AE93" s="87"/>
      <c r="AF93" s="87"/>
      <c r="AG93" s="87"/>
      <c r="AH93" s="87"/>
    </row>
    <row r="94" spans="1:34" ht="24.95" customHeight="1" x14ac:dyDescent="0.25">
      <c r="A94" s="101">
        <v>83121702</v>
      </c>
      <c r="B94" s="110" t="s">
        <v>58</v>
      </c>
      <c r="C94" s="110" t="s">
        <v>162</v>
      </c>
      <c r="D94" s="301" t="s">
        <v>163</v>
      </c>
      <c r="E94" s="87" t="s">
        <v>164</v>
      </c>
      <c r="F94" s="19" t="s">
        <v>423</v>
      </c>
      <c r="G94" s="113">
        <v>1</v>
      </c>
      <c r="H94" s="88">
        <v>1</v>
      </c>
      <c r="I94" s="88">
        <v>10</v>
      </c>
      <c r="J94" s="88">
        <v>15</v>
      </c>
      <c r="K94" s="87" t="s">
        <v>83</v>
      </c>
      <c r="L94" s="87" t="s">
        <v>3</v>
      </c>
      <c r="M94" s="32">
        <v>31515451.227272727</v>
      </c>
      <c r="N94" s="89" t="s">
        <v>872</v>
      </c>
      <c r="O94" s="89" t="s">
        <v>7</v>
      </c>
      <c r="P94" s="510">
        <v>201891000290</v>
      </c>
      <c r="Q94" s="89" t="s">
        <v>949</v>
      </c>
      <c r="R94" s="32">
        <v>33016187</v>
      </c>
      <c r="S94" s="89" t="s">
        <v>197</v>
      </c>
      <c r="T94" s="87" t="s">
        <v>66</v>
      </c>
      <c r="U94" s="32">
        <v>0</v>
      </c>
      <c r="V94" s="87" t="s">
        <v>67</v>
      </c>
      <c r="W94" s="87" t="s">
        <v>68</v>
      </c>
      <c r="X94" s="87" t="s">
        <v>121</v>
      </c>
      <c r="Y94" s="107" t="s">
        <v>956</v>
      </c>
      <c r="Z94" s="114" t="s">
        <v>957</v>
      </c>
      <c r="AA94" s="117" t="s">
        <v>67</v>
      </c>
      <c r="AB94" s="117"/>
      <c r="AC94" s="162"/>
      <c r="AD94" s="87"/>
      <c r="AE94" s="87"/>
      <c r="AF94" s="87"/>
      <c r="AG94" s="87"/>
      <c r="AH94" s="87"/>
    </row>
    <row r="95" spans="1:34" ht="24.95" customHeight="1" x14ac:dyDescent="0.25">
      <c r="A95" s="101">
        <v>83121702</v>
      </c>
      <c r="B95" s="110" t="s">
        <v>58</v>
      </c>
      <c r="C95" s="110" t="s">
        <v>162</v>
      </c>
      <c r="D95" s="301" t="s">
        <v>163</v>
      </c>
      <c r="E95" s="87" t="s">
        <v>164</v>
      </c>
      <c r="F95" s="19" t="s">
        <v>424</v>
      </c>
      <c r="G95" s="113">
        <v>1</v>
      </c>
      <c r="H95" s="88">
        <v>1</v>
      </c>
      <c r="I95" s="88">
        <v>10</v>
      </c>
      <c r="J95" s="88">
        <v>15</v>
      </c>
      <c r="K95" s="87" t="s">
        <v>83</v>
      </c>
      <c r="L95" s="87" t="s">
        <v>3</v>
      </c>
      <c r="M95" s="32">
        <v>65074624.36363636</v>
      </c>
      <c r="N95" s="89" t="s">
        <v>872</v>
      </c>
      <c r="O95" s="89" t="s">
        <v>7</v>
      </c>
      <c r="P95" s="510">
        <v>201891000290</v>
      </c>
      <c r="Q95" s="89" t="s">
        <v>949</v>
      </c>
      <c r="R95" s="32">
        <v>68173416</v>
      </c>
      <c r="S95" s="89" t="s">
        <v>197</v>
      </c>
      <c r="T95" s="87" t="s">
        <v>66</v>
      </c>
      <c r="U95" s="32">
        <v>0</v>
      </c>
      <c r="V95" s="87" t="s">
        <v>67</v>
      </c>
      <c r="W95" s="87" t="s">
        <v>68</v>
      </c>
      <c r="X95" s="87" t="s">
        <v>121</v>
      </c>
      <c r="Y95" s="107" t="s">
        <v>956</v>
      </c>
      <c r="Z95" s="114" t="s">
        <v>957</v>
      </c>
      <c r="AA95" s="117" t="s">
        <v>67</v>
      </c>
      <c r="AB95" s="117"/>
      <c r="AC95" s="162"/>
      <c r="AD95" s="87"/>
      <c r="AE95" s="87"/>
      <c r="AF95" s="87"/>
      <c r="AG95" s="87"/>
      <c r="AH95" s="87"/>
    </row>
    <row r="96" spans="1:34" ht="24.95" customHeight="1" x14ac:dyDescent="0.25">
      <c r="A96" s="101">
        <v>83121700</v>
      </c>
      <c r="B96" s="110" t="s">
        <v>58</v>
      </c>
      <c r="C96" s="110" t="s">
        <v>162</v>
      </c>
      <c r="D96" s="301" t="s">
        <v>163</v>
      </c>
      <c r="E96" s="87" t="s">
        <v>164</v>
      </c>
      <c r="F96" s="87" t="s">
        <v>1047</v>
      </c>
      <c r="G96" s="88">
        <v>1</v>
      </c>
      <c r="H96" s="88">
        <v>1</v>
      </c>
      <c r="I96" s="88">
        <v>10</v>
      </c>
      <c r="J96" s="88">
        <v>15</v>
      </c>
      <c r="K96" s="87" t="s">
        <v>83</v>
      </c>
      <c r="L96" s="115" t="s">
        <v>67</v>
      </c>
      <c r="M96" s="32">
        <v>0</v>
      </c>
      <c r="N96" s="89" t="s">
        <v>877</v>
      </c>
      <c r="O96" s="89" t="s">
        <v>5</v>
      </c>
      <c r="P96" s="510">
        <v>201891000290</v>
      </c>
      <c r="Q96" s="89" t="s">
        <v>949</v>
      </c>
      <c r="R96" s="32">
        <v>24359500</v>
      </c>
      <c r="S96" s="89" t="s">
        <v>63</v>
      </c>
      <c r="T96" s="87" t="s">
        <v>66</v>
      </c>
      <c r="U96" s="32">
        <v>0</v>
      </c>
      <c r="V96" s="87" t="s">
        <v>67</v>
      </c>
      <c r="W96" s="87" t="s">
        <v>68</v>
      </c>
      <c r="X96" s="87" t="s">
        <v>121</v>
      </c>
      <c r="Y96" s="107" t="s">
        <v>956</v>
      </c>
      <c r="Z96" s="114" t="s">
        <v>957</v>
      </c>
      <c r="AA96" s="117" t="s">
        <v>67</v>
      </c>
      <c r="AB96" s="117"/>
      <c r="AC96" s="162"/>
      <c r="AD96" s="87"/>
      <c r="AE96" s="87"/>
      <c r="AF96" s="87"/>
      <c r="AG96" s="87"/>
      <c r="AH96" s="87"/>
    </row>
    <row r="97" spans="1:34" ht="24.95" customHeight="1" x14ac:dyDescent="0.25">
      <c r="A97" s="216">
        <v>82121500</v>
      </c>
      <c r="B97" s="292" t="s">
        <v>58</v>
      </c>
      <c r="C97" s="292" t="s">
        <v>162</v>
      </c>
      <c r="D97" s="302" t="s">
        <v>163</v>
      </c>
      <c r="E97" s="214" t="s">
        <v>164</v>
      </c>
      <c r="F97" s="214" t="s">
        <v>165</v>
      </c>
      <c r="G97" s="237">
        <v>2</v>
      </c>
      <c r="H97" s="237">
        <v>2</v>
      </c>
      <c r="I97" s="237">
        <v>10</v>
      </c>
      <c r="J97" s="237">
        <v>0</v>
      </c>
      <c r="K97" s="214" t="s">
        <v>154</v>
      </c>
      <c r="L97" s="214" t="s">
        <v>10</v>
      </c>
      <c r="M97" s="215">
        <v>2500000</v>
      </c>
      <c r="N97" s="220" t="s">
        <v>877</v>
      </c>
      <c r="O97" s="220" t="s">
        <v>5</v>
      </c>
      <c r="P97" s="513">
        <v>201891000290</v>
      </c>
      <c r="Q97" s="220" t="s">
        <v>949</v>
      </c>
      <c r="R97" s="219">
        <v>2500000</v>
      </c>
      <c r="S97" s="691" t="s">
        <v>67</v>
      </c>
      <c r="T97" s="214" t="s">
        <v>66</v>
      </c>
      <c r="U97" s="215">
        <v>0</v>
      </c>
      <c r="V97" s="214" t="s">
        <v>67</v>
      </c>
      <c r="W97" s="214" t="s">
        <v>68</v>
      </c>
      <c r="X97" s="214" t="s">
        <v>121</v>
      </c>
      <c r="Y97" s="238" t="s">
        <v>956</v>
      </c>
      <c r="Z97" s="239" t="s">
        <v>957</v>
      </c>
      <c r="AA97" s="229" t="s">
        <v>67</v>
      </c>
      <c r="AB97" s="13"/>
      <c r="AC97" s="163"/>
      <c r="AD97" s="21"/>
      <c r="AE97" s="21"/>
      <c r="AF97" s="21"/>
      <c r="AG97" s="21"/>
      <c r="AH97" s="21"/>
    </row>
    <row r="98" spans="1:34" ht="24.95" customHeight="1" x14ac:dyDescent="0.25">
      <c r="A98" s="26">
        <v>82121500</v>
      </c>
      <c r="B98" s="36" t="s">
        <v>58</v>
      </c>
      <c r="C98" s="36" t="s">
        <v>162</v>
      </c>
      <c r="D98" s="303" t="s">
        <v>163</v>
      </c>
      <c r="E98" s="21" t="s">
        <v>164</v>
      </c>
      <c r="F98" s="21" t="s">
        <v>168</v>
      </c>
      <c r="G98" s="22">
        <v>1</v>
      </c>
      <c r="H98" s="22">
        <v>1</v>
      </c>
      <c r="I98" s="22">
        <v>11</v>
      </c>
      <c r="J98" s="22">
        <v>0</v>
      </c>
      <c r="K98" s="21" t="s">
        <v>154</v>
      </c>
      <c r="L98" s="214" t="s">
        <v>10</v>
      </c>
      <c r="M98" s="23">
        <v>2800000</v>
      </c>
      <c r="N98" s="220" t="s">
        <v>877</v>
      </c>
      <c r="O98" s="220" t="s">
        <v>5</v>
      </c>
      <c r="P98" s="513">
        <v>201891000290</v>
      </c>
      <c r="Q98" s="220" t="s">
        <v>949</v>
      </c>
      <c r="R98" s="45">
        <v>2800000</v>
      </c>
      <c r="S98" s="686" t="s">
        <v>67</v>
      </c>
      <c r="T98" s="21" t="s">
        <v>66</v>
      </c>
      <c r="U98" s="23">
        <v>0</v>
      </c>
      <c r="V98" s="21" t="s">
        <v>67</v>
      </c>
      <c r="W98" s="21" t="s">
        <v>68</v>
      </c>
      <c r="X98" s="21" t="s">
        <v>121</v>
      </c>
      <c r="Y98" s="24" t="s">
        <v>956</v>
      </c>
      <c r="Z98" s="25" t="s">
        <v>957</v>
      </c>
      <c r="AA98" s="13" t="s">
        <v>67</v>
      </c>
      <c r="AB98" s="13"/>
      <c r="AC98" s="163"/>
      <c r="AD98" s="21"/>
      <c r="AE98" s="21"/>
      <c r="AF98" s="21"/>
      <c r="AG98" s="21"/>
      <c r="AH98" s="21"/>
    </row>
    <row r="99" spans="1:34" ht="24.95" customHeight="1" x14ac:dyDescent="0.25">
      <c r="A99" s="26">
        <v>82121501</v>
      </c>
      <c r="B99" s="36" t="s">
        <v>58</v>
      </c>
      <c r="C99" s="36" t="s">
        <v>162</v>
      </c>
      <c r="D99" s="303" t="s">
        <v>163</v>
      </c>
      <c r="E99" s="21" t="s">
        <v>164</v>
      </c>
      <c r="F99" s="21" t="s">
        <v>467</v>
      </c>
      <c r="G99" s="22">
        <v>3</v>
      </c>
      <c r="H99" s="22">
        <v>3</v>
      </c>
      <c r="I99" s="22">
        <v>9</v>
      </c>
      <c r="J99" s="22">
        <v>0</v>
      </c>
      <c r="K99" s="21" t="s">
        <v>154</v>
      </c>
      <c r="L99" s="214" t="s">
        <v>10</v>
      </c>
      <c r="M99" s="23">
        <v>700000</v>
      </c>
      <c r="N99" s="220" t="s">
        <v>877</v>
      </c>
      <c r="O99" s="220" t="s">
        <v>5</v>
      </c>
      <c r="P99" s="513">
        <v>201891000290</v>
      </c>
      <c r="Q99" s="220" t="s">
        <v>949</v>
      </c>
      <c r="R99" s="45">
        <v>700000</v>
      </c>
      <c r="S99" s="686" t="s">
        <v>67</v>
      </c>
      <c r="T99" s="21" t="s">
        <v>66</v>
      </c>
      <c r="U99" s="23">
        <v>0</v>
      </c>
      <c r="V99" s="21" t="s">
        <v>67</v>
      </c>
      <c r="W99" s="21" t="s">
        <v>68</v>
      </c>
      <c r="X99" s="21" t="s">
        <v>121</v>
      </c>
      <c r="Y99" s="24" t="s">
        <v>956</v>
      </c>
      <c r="Z99" s="25" t="s">
        <v>957</v>
      </c>
      <c r="AA99" s="13" t="s">
        <v>67</v>
      </c>
      <c r="AB99" s="13"/>
      <c r="AC99" s="163"/>
      <c r="AD99" s="21"/>
      <c r="AE99" s="21"/>
      <c r="AF99" s="21"/>
      <c r="AG99" s="21"/>
      <c r="AH99" s="21"/>
    </row>
    <row r="100" spans="1:34" ht="24.95" customHeight="1" x14ac:dyDescent="0.25">
      <c r="A100" s="26">
        <v>82121500</v>
      </c>
      <c r="B100" s="36" t="s">
        <v>58</v>
      </c>
      <c r="C100" s="36" t="s">
        <v>162</v>
      </c>
      <c r="D100" s="303" t="s">
        <v>163</v>
      </c>
      <c r="E100" s="21" t="s">
        <v>164</v>
      </c>
      <c r="F100" s="21" t="s">
        <v>468</v>
      </c>
      <c r="G100" s="22">
        <v>3</v>
      </c>
      <c r="H100" s="22">
        <v>3</v>
      </c>
      <c r="I100" s="22">
        <v>9</v>
      </c>
      <c r="J100" s="22">
        <v>0</v>
      </c>
      <c r="K100" s="21" t="s">
        <v>154</v>
      </c>
      <c r="L100" s="214" t="s">
        <v>10</v>
      </c>
      <c r="M100" s="23">
        <v>800000</v>
      </c>
      <c r="N100" s="220" t="s">
        <v>877</v>
      </c>
      <c r="O100" s="220" t="s">
        <v>5</v>
      </c>
      <c r="P100" s="513">
        <v>201891000290</v>
      </c>
      <c r="Q100" s="220" t="s">
        <v>949</v>
      </c>
      <c r="R100" s="45">
        <v>800000</v>
      </c>
      <c r="S100" s="686" t="s">
        <v>67</v>
      </c>
      <c r="T100" s="21" t="s">
        <v>66</v>
      </c>
      <c r="U100" s="23">
        <v>0</v>
      </c>
      <c r="V100" s="21" t="s">
        <v>67</v>
      </c>
      <c r="W100" s="21" t="s">
        <v>68</v>
      </c>
      <c r="X100" s="21" t="s">
        <v>121</v>
      </c>
      <c r="Y100" s="24" t="s">
        <v>956</v>
      </c>
      <c r="Z100" s="25" t="s">
        <v>957</v>
      </c>
      <c r="AA100" s="13" t="s">
        <v>67</v>
      </c>
      <c r="AB100" s="13"/>
      <c r="AC100" s="163"/>
      <c r="AD100" s="21"/>
      <c r="AE100" s="21"/>
      <c r="AF100" s="21"/>
      <c r="AG100" s="21"/>
      <c r="AH100" s="21"/>
    </row>
    <row r="101" spans="1:34" ht="24.95" customHeight="1" x14ac:dyDescent="0.25">
      <c r="A101" s="26">
        <v>82121500</v>
      </c>
      <c r="B101" s="36" t="s">
        <v>58</v>
      </c>
      <c r="C101" s="36" t="s">
        <v>162</v>
      </c>
      <c r="D101" s="303" t="s">
        <v>163</v>
      </c>
      <c r="E101" s="21" t="s">
        <v>164</v>
      </c>
      <c r="F101" s="21" t="s">
        <v>469</v>
      </c>
      <c r="G101" s="22">
        <v>1</v>
      </c>
      <c r="H101" s="22">
        <v>1</v>
      </c>
      <c r="I101" s="22">
        <v>11</v>
      </c>
      <c r="J101" s="22">
        <v>0</v>
      </c>
      <c r="K101" s="21" t="s">
        <v>154</v>
      </c>
      <c r="L101" s="214" t="s">
        <v>10</v>
      </c>
      <c r="M101" s="23">
        <v>3700000</v>
      </c>
      <c r="N101" s="220" t="s">
        <v>877</v>
      </c>
      <c r="O101" s="220" t="s">
        <v>5</v>
      </c>
      <c r="P101" s="513">
        <v>201891000290</v>
      </c>
      <c r="Q101" s="220" t="s">
        <v>949</v>
      </c>
      <c r="R101" s="45">
        <v>3700000</v>
      </c>
      <c r="S101" s="686" t="s">
        <v>67</v>
      </c>
      <c r="T101" s="21" t="s">
        <v>66</v>
      </c>
      <c r="U101" s="23">
        <v>0</v>
      </c>
      <c r="V101" s="21" t="s">
        <v>67</v>
      </c>
      <c r="W101" s="21" t="s">
        <v>68</v>
      </c>
      <c r="X101" s="21" t="s">
        <v>121</v>
      </c>
      <c r="Y101" s="24" t="s">
        <v>956</v>
      </c>
      <c r="Z101" s="25" t="s">
        <v>957</v>
      </c>
      <c r="AA101" s="13" t="s">
        <v>67</v>
      </c>
      <c r="AB101" s="13"/>
      <c r="AC101" s="163"/>
      <c r="AD101" s="21"/>
      <c r="AE101" s="21"/>
      <c r="AF101" s="21"/>
      <c r="AG101" s="21"/>
      <c r="AH101" s="21"/>
    </row>
    <row r="102" spans="1:34" ht="24.95" customHeight="1" x14ac:dyDescent="0.25">
      <c r="A102" s="26">
        <v>82121500</v>
      </c>
      <c r="B102" s="36" t="s">
        <v>58</v>
      </c>
      <c r="C102" s="36" t="s">
        <v>162</v>
      </c>
      <c r="D102" s="303" t="s">
        <v>163</v>
      </c>
      <c r="E102" s="21" t="s">
        <v>164</v>
      </c>
      <c r="F102" s="21" t="s">
        <v>470</v>
      </c>
      <c r="G102" s="22">
        <v>1</v>
      </c>
      <c r="H102" s="22">
        <v>1</v>
      </c>
      <c r="I102" s="22">
        <v>11</v>
      </c>
      <c r="J102" s="22">
        <v>0</v>
      </c>
      <c r="K102" s="21" t="s">
        <v>154</v>
      </c>
      <c r="L102" s="214" t="s">
        <v>10</v>
      </c>
      <c r="M102" s="23">
        <v>3000000</v>
      </c>
      <c r="N102" s="220" t="s">
        <v>877</v>
      </c>
      <c r="O102" s="220" t="s">
        <v>5</v>
      </c>
      <c r="P102" s="513">
        <v>201891000290</v>
      </c>
      <c r="Q102" s="220" t="s">
        <v>949</v>
      </c>
      <c r="R102" s="45">
        <v>3000000</v>
      </c>
      <c r="S102" s="686" t="s">
        <v>67</v>
      </c>
      <c r="T102" s="21" t="s">
        <v>66</v>
      </c>
      <c r="U102" s="23">
        <v>0</v>
      </c>
      <c r="V102" s="21" t="s">
        <v>67</v>
      </c>
      <c r="W102" s="21" t="s">
        <v>68</v>
      </c>
      <c r="X102" s="21" t="s">
        <v>121</v>
      </c>
      <c r="Y102" s="24" t="s">
        <v>956</v>
      </c>
      <c r="Z102" s="25" t="s">
        <v>957</v>
      </c>
      <c r="AA102" s="13" t="s">
        <v>67</v>
      </c>
      <c r="AB102" s="13"/>
      <c r="AC102" s="163"/>
      <c r="AD102" s="21"/>
      <c r="AE102" s="21"/>
      <c r="AF102" s="21"/>
      <c r="AG102" s="21"/>
      <c r="AH102" s="21"/>
    </row>
    <row r="103" spans="1:34" ht="24.95" customHeight="1" x14ac:dyDescent="0.25">
      <c r="A103" s="26">
        <v>82121500</v>
      </c>
      <c r="B103" s="36" t="s">
        <v>58</v>
      </c>
      <c r="C103" s="36" t="s">
        <v>162</v>
      </c>
      <c r="D103" s="303" t="s">
        <v>163</v>
      </c>
      <c r="E103" s="21" t="s">
        <v>164</v>
      </c>
      <c r="F103" s="21" t="s">
        <v>465</v>
      </c>
      <c r="G103" s="22">
        <v>1</v>
      </c>
      <c r="H103" s="22">
        <v>1</v>
      </c>
      <c r="I103" s="22">
        <v>11</v>
      </c>
      <c r="J103" s="22">
        <v>0</v>
      </c>
      <c r="K103" s="21" t="s">
        <v>154</v>
      </c>
      <c r="L103" s="214" t="s">
        <v>10</v>
      </c>
      <c r="M103" s="23">
        <f>300000-106956</f>
        <v>193044</v>
      </c>
      <c r="N103" s="220" t="s">
        <v>872</v>
      </c>
      <c r="O103" s="220" t="s">
        <v>7</v>
      </c>
      <c r="P103" s="513">
        <v>201891000290</v>
      </c>
      <c r="Q103" s="220" t="s">
        <v>949</v>
      </c>
      <c r="R103" s="45">
        <v>300000</v>
      </c>
      <c r="S103" s="686" t="s">
        <v>67</v>
      </c>
      <c r="T103" s="21" t="s">
        <v>66</v>
      </c>
      <c r="U103" s="23">
        <v>0</v>
      </c>
      <c r="V103" s="21" t="s">
        <v>67</v>
      </c>
      <c r="W103" s="21" t="s">
        <v>68</v>
      </c>
      <c r="X103" s="21" t="s">
        <v>121</v>
      </c>
      <c r="Y103" s="24" t="s">
        <v>956</v>
      </c>
      <c r="Z103" s="25" t="s">
        <v>957</v>
      </c>
      <c r="AA103" s="13" t="s">
        <v>67</v>
      </c>
      <c r="AB103" s="13"/>
      <c r="AC103" s="163"/>
      <c r="AD103" s="21"/>
      <c r="AE103" s="21"/>
      <c r="AF103" s="21"/>
      <c r="AG103" s="21"/>
      <c r="AH103" s="21"/>
    </row>
    <row r="104" spans="1:34" ht="24.95" customHeight="1" x14ac:dyDescent="0.25">
      <c r="A104" s="26">
        <v>82121500</v>
      </c>
      <c r="B104" s="36" t="s">
        <v>58</v>
      </c>
      <c r="C104" s="36" t="s">
        <v>162</v>
      </c>
      <c r="D104" s="303" t="s">
        <v>163</v>
      </c>
      <c r="E104" s="21" t="s">
        <v>164</v>
      </c>
      <c r="F104" s="21" t="s">
        <v>465</v>
      </c>
      <c r="G104" s="22"/>
      <c r="H104" s="22"/>
      <c r="I104" s="22"/>
      <c r="J104" s="22"/>
      <c r="K104" s="21"/>
      <c r="L104" s="214" t="s">
        <v>10</v>
      </c>
      <c r="M104" s="23">
        <v>106956</v>
      </c>
      <c r="N104" s="220" t="s">
        <v>877</v>
      </c>
      <c r="O104" s="220" t="s">
        <v>5</v>
      </c>
      <c r="P104" s="513">
        <v>201891000290</v>
      </c>
      <c r="Q104" s="220" t="s">
        <v>949</v>
      </c>
      <c r="R104" s="45"/>
      <c r="S104" s="686" t="s">
        <v>67</v>
      </c>
      <c r="T104" s="21" t="s">
        <v>66</v>
      </c>
      <c r="U104" s="23">
        <v>0</v>
      </c>
      <c r="V104" s="21" t="s">
        <v>67</v>
      </c>
      <c r="W104" s="21" t="s">
        <v>68</v>
      </c>
      <c r="X104" s="21" t="s">
        <v>121</v>
      </c>
      <c r="Y104" s="24" t="s">
        <v>956</v>
      </c>
      <c r="Z104" s="25" t="s">
        <v>957</v>
      </c>
      <c r="AA104" s="13" t="s">
        <v>67</v>
      </c>
      <c r="AB104" s="13"/>
      <c r="AC104" s="163"/>
      <c r="AD104" s="21"/>
      <c r="AE104" s="21"/>
      <c r="AF104" s="21"/>
      <c r="AG104" s="21"/>
      <c r="AH104" s="21"/>
    </row>
    <row r="105" spans="1:34" ht="24.95" customHeight="1" x14ac:dyDescent="0.25">
      <c r="A105" s="26">
        <v>78141500</v>
      </c>
      <c r="B105" s="36" t="s">
        <v>58</v>
      </c>
      <c r="C105" s="36" t="s">
        <v>162</v>
      </c>
      <c r="D105" s="303" t="s">
        <v>163</v>
      </c>
      <c r="E105" s="21" t="s">
        <v>164</v>
      </c>
      <c r="F105" s="21" t="s">
        <v>1048</v>
      </c>
      <c r="G105" s="22">
        <v>1</v>
      </c>
      <c r="H105" s="22">
        <v>1</v>
      </c>
      <c r="I105" s="22">
        <v>1</v>
      </c>
      <c r="J105" s="22">
        <v>0</v>
      </c>
      <c r="K105" s="21" t="s">
        <v>83</v>
      </c>
      <c r="L105" s="214" t="s">
        <v>10</v>
      </c>
      <c r="M105" s="23">
        <v>700000</v>
      </c>
      <c r="N105" s="220" t="s">
        <v>877</v>
      </c>
      <c r="O105" s="220" t="s">
        <v>5</v>
      </c>
      <c r="P105" s="513">
        <v>201891000290</v>
      </c>
      <c r="Q105" s="220" t="s">
        <v>949</v>
      </c>
      <c r="R105" s="45">
        <v>700000</v>
      </c>
      <c r="S105" s="686" t="s">
        <v>67</v>
      </c>
      <c r="T105" s="21" t="s">
        <v>66</v>
      </c>
      <c r="U105" s="23">
        <v>0</v>
      </c>
      <c r="V105" s="21" t="s">
        <v>67</v>
      </c>
      <c r="W105" s="21" t="s">
        <v>68</v>
      </c>
      <c r="X105" s="21" t="s">
        <v>121</v>
      </c>
      <c r="Y105" s="24" t="s">
        <v>956</v>
      </c>
      <c r="Z105" s="25" t="s">
        <v>957</v>
      </c>
      <c r="AA105" s="13" t="s">
        <v>67</v>
      </c>
      <c r="AB105" s="13"/>
      <c r="AC105" s="163"/>
      <c r="AD105" s="21"/>
      <c r="AE105" s="21"/>
      <c r="AF105" s="21"/>
      <c r="AG105" s="21"/>
      <c r="AH105" s="21"/>
    </row>
    <row r="106" spans="1:34" ht="24.95" customHeight="1" x14ac:dyDescent="0.25">
      <c r="A106" s="181">
        <v>78141500</v>
      </c>
      <c r="B106" s="293" t="s">
        <v>58</v>
      </c>
      <c r="C106" s="293" t="s">
        <v>162</v>
      </c>
      <c r="D106" s="304" t="s">
        <v>163</v>
      </c>
      <c r="E106" s="177" t="s">
        <v>164</v>
      </c>
      <c r="F106" s="177" t="s">
        <v>169</v>
      </c>
      <c r="G106" s="183">
        <v>1</v>
      </c>
      <c r="H106" s="183">
        <v>1</v>
      </c>
      <c r="I106" s="183">
        <v>1</v>
      </c>
      <c r="J106" s="183">
        <v>0</v>
      </c>
      <c r="K106" s="177" t="s">
        <v>83</v>
      </c>
      <c r="L106" s="214" t="s">
        <v>10</v>
      </c>
      <c r="M106" s="178">
        <v>500000</v>
      </c>
      <c r="N106" s="220" t="s">
        <v>877</v>
      </c>
      <c r="O106" s="220" t="s">
        <v>5</v>
      </c>
      <c r="P106" s="513">
        <v>201891000290</v>
      </c>
      <c r="Q106" s="220" t="s">
        <v>949</v>
      </c>
      <c r="R106" s="179">
        <v>500000</v>
      </c>
      <c r="S106" s="693" t="s">
        <v>67</v>
      </c>
      <c r="T106" s="177" t="s">
        <v>66</v>
      </c>
      <c r="U106" s="178">
        <v>0</v>
      </c>
      <c r="V106" s="177" t="s">
        <v>67</v>
      </c>
      <c r="W106" s="177" t="s">
        <v>68</v>
      </c>
      <c r="X106" s="177" t="s">
        <v>121</v>
      </c>
      <c r="Y106" s="186" t="s">
        <v>956</v>
      </c>
      <c r="Z106" s="187" t="s">
        <v>957</v>
      </c>
      <c r="AA106" s="185" t="s">
        <v>67</v>
      </c>
      <c r="AB106" s="13"/>
      <c r="AC106" s="163"/>
      <c r="AD106" s="21"/>
      <c r="AE106" s="21"/>
      <c r="AF106" s="21"/>
      <c r="AG106" s="21"/>
      <c r="AH106" s="21"/>
    </row>
    <row r="107" spans="1:34" ht="24.95" customHeight="1" x14ac:dyDescent="0.25">
      <c r="A107" s="101" t="s">
        <v>426</v>
      </c>
      <c r="B107" s="110" t="s">
        <v>58</v>
      </c>
      <c r="C107" s="110" t="s">
        <v>170</v>
      </c>
      <c r="D107" s="110" t="s">
        <v>171</v>
      </c>
      <c r="E107" s="87" t="s">
        <v>399</v>
      </c>
      <c r="F107" s="87" t="s">
        <v>425</v>
      </c>
      <c r="G107" s="88">
        <v>1</v>
      </c>
      <c r="H107" s="88">
        <v>1</v>
      </c>
      <c r="I107" s="88">
        <v>10</v>
      </c>
      <c r="J107" s="88">
        <v>15</v>
      </c>
      <c r="K107" s="87" t="s">
        <v>83</v>
      </c>
      <c r="L107" s="87" t="s">
        <v>3</v>
      </c>
      <c r="M107" s="32">
        <v>31747433</v>
      </c>
      <c r="N107" s="32"/>
      <c r="O107" s="32"/>
      <c r="P107" s="32"/>
      <c r="Q107" s="89"/>
      <c r="R107" s="32">
        <v>33259215</v>
      </c>
      <c r="S107" s="89" t="s">
        <v>197</v>
      </c>
      <c r="T107" s="87" t="s">
        <v>66</v>
      </c>
      <c r="U107" s="32">
        <v>0</v>
      </c>
      <c r="V107" s="87" t="s">
        <v>67</v>
      </c>
      <c r="W107" s="87" t="s">
        <v>68</v>
      </c>
      <c r="X107" s="87" t="s">
        <v>1049</v>
      </c>
      <c r="Y107" s="158" t="s">
        <v>1050</v>
      </c>
      <c r="Z107" s="87" t="s">
        <v>1051</v>
      </c>
      <c r="AA107" s="117" t="s">
        <v>67</v>
      </c>
      <c r="AB107" s="117"/>
      <c r="AC107" s="162"/>
      <c r="AD107" s="87"/>
      <c r="AE107" s="87"/>
      <c r="AF107" s="87"/>
      <c r="AG107" s="87"/>
      <c r="AH107" s="87"/>
    </row>
    <row r="108" spans="1:34" ht="24.95" customHeight="1" x14ac:dyDescent="0.25">
      <c r="A108" s="101" t="s">
        <v>409</v>
      </c>
      <c r="B108" s="110" t="s">
        <v>58</v>
      </c>
      <c r="C108" s="110" t="s">
        <v>170</v>
      </c>
      <c r="D108" s="110" t="s">
        <v>171</v>
      </c>
      <c r="E108" s="87" t="s">
        <v>172</v>
      </c>
      <c r="F108" s="87" t="s">
        <v>427</v>
      </c>
      <c r="G108" s="88">
        <v>1</v>
      </c>
      <c r="H108" s="88">
        <v>1</v>
      </c>
      <c r="I108" s="88">
        <v>10</v>
      </c>
      <c r="J108" s="88">
        <v>15</v>
      </c>
      <c r="K108" s="87" t="s">
        <v>83</v>
      </c>
      <c r="L108" s="87" t="s">
        <v>3</v>
      </c>
      <c r="M108" s="32">
        <v>22601782</v>
      </c>
      <c r="N108" s="32"/>
      <c r="O108" s="32"/>
      <c r="P108" s="32"/>
      <c r="Q108" s="89"/>
      <c r="R108" s="32">
        <v>23678057</v>
      </c>
      <c r="S108" s="89" t="s">
        <v>197</v>
      </c>
      <c r="T108" s="87" t="s">
        <v>66</v>
      </c>
      <c r="U108" s="32">
        <v>0</v>
      </c>
      <c r="V108" s="87" t="s">
        <v>67</v>
      </c>
      <c r="W108" s="87" t="s">
        <v>68</v>
      </c>
      <c r="X108" s="87" t="s">
        <v>1052</v>
      </c>
      <c r="Y108" s="158" t="s">
        <v>1050</v>
      </c>
      <c r="Z108" s="87" t="s">
        <v>1053</v>
      </c>
      <c r="AA108" s="117" t="s">
        <v>67</v>
      </c>
      <c r="AB108" s="117"/>
      <c r="AC108" s="162"/>
      <c r="AD108" s="87"/>
      <c r="AE108" s="87"/>
      <c r="AF108" s="87"/>
      <c r="AG108" s="87"/>
      <c r="AH108" s="87"/>
    </row>
    <row r="109" spans="1:34" ht="24.95" customHeight="1" x14ac:dyDescent="0.25">
      <c r="A109" s="284" t="s">
        <v>409</v>
      </c>
      <c r="B109" s="110" t="s">
        <v>58</v>
      </c>
      <c r="C109" s="110" t="s">
        <v>170</v>
      </c>
      <c r="D109" s="110" t="s">
        <v>171</v>
      </c>
      <c r="E109" s="87" t="s">
        <v>172</v>
      </c>
      <c r="F109" s="87" t="s">
        <v>410</v>
      </c>
      <c r="G109" s="88">
        <v>2</v>
      </c>
      <c r="H109" s="88">
        <v>2</v>
      </c>
      <c r="I109" s="88">
        <v>10</v>
      </c>
      <c r="J109" s="88">
        <v>0</v>
      </c>
      <c r="K109" s="87" t="s">
        <v>154</v>
      </c>
      <c r="L109" s="87" t="s">
        <v>3</v>
      </c>
      <c r="M109" s="32">
        <v>30000000</v>
      </c>
      <c r="N109" s="32"/>
      <c r="O109" s="32"/>
      <c r="P109" s="32"/>
      <c r="Q109" s="89"/>
      <c r="R109" s="32">
        <v>36000000</v>
      </c>
      <c r="S109" s="89" t="s">
        <v>411</v>
      </c>
      <c r="T109" s="87" t="s">
        <v>66</v>
      </c>
      <c r="U109" s="32">
        <v>0</v>
      </c>
      <c r="V109" s="87" t="s">
        <v>67</v>
      </c>
      <c r="W109" s="87" t="s">
        <v>68</v>
      </c>
      <c r="X109" s="87" t="s">
        <v>1054</v>
      </c>
      <c r="Y109" s="158" t="s">
        <v>1050</v>
      </c>
      <c r="Z109" s="87" t="s">
        <v>63</v>
      </c>
      <c r="AA109" s="117" t="s">
        <v>67</v>
      </c>
      <c r="AB109" s="117"/>
      <c r="AC109" s="162"/>
      <c r="AD109" s="87"/>
      <c r="AE109" s="87"/>
      <c r="AF109" s="87"/>
      <c r="AG109" s="87"/>
      <c r="AH109" s="87"/>
    </row>
    <row r="110" spans="1:34" ht="24.95" customHeight="1" x14ac:dyDescent="0.25">
      <c r="A110" s="240">
        <v>81101707</v>
      </c>
      <c r="B110" s="305" t="s">
        <v>58</v>
      </c>
      <c r="C110" s="305" t="s">
        <v>170</v>
      </c>
      <c r="D110" s="305" t="s">
        <v>171</v>
      </c>
      <c r="E110" s="241" t="s">
        <v>172</v>
      </c>
      <c r="F110" s="241" t="s">
        <v>173</v>
      </c>
      <c r="G110" s="242">
        <v>3</v>
      </c>
      <c r="H110" s="242">
        <v>3</v>
      </c>
      <c r="I110" s="242">
        <v>2</v>
      </c>
      <c r="J110" s="242">
        <v>15</v>
      </c>
      <c r="K110" s="241" t="s">
        <v>154</v>
      </c>
      <c r="L110" s="241" t="s">
        <v>3</v>
      </c>
      <c r="M110" s="243">
        <v>22000000</v>
      </c>
      <c r="N110" s="243"/>
      <c r="O110" s="243"/>
      <c r="P110" s="243"/>
      <c r="Q110" s="245"/>
      <c r="R110" s="244">
        <v>22000000</v>
      </c>
      <c r="S110" s="245" t="s">
        <v>67</v>
      </c>
      <c r="T110" s="241" t="s">
        <v>66</v>
      </c>
      <c r="U110" s="243">
        <v>0</v>
      </c>
      <c r="V110" s="241" t="s">
        <v>67</v>
      </c>
      <c r="W110" s="241" t="s">
        <v>68</v>
      </c>
      <c r="X110" s="241" t="s">
        <v>1055</v>
      </c>
      <c r="Y110" s="246" t="s">
        <v>1050</v>
      </c>
      <c r="Z110" s="241"/>
      <c r="AA110" s="247" t="s">
        <v>67</v>
      </c>
      <c r="AB110" s="13"/>
      <c r="AC110" s="163"/>
      <c r="AD110" s="21"/>
      <c r="AE110" s="21"/>
      <c r="AF110" s="21"/>
      <c r="AG110" s="21"/>
      <c r="AH110" s="21"/>
    </row>
    <row r="111" spans="1:34" ht="24.95" customHeight="1" x14ac:dyDescent="0.25">
      <c r="A111" s="101" t="s">
        <v>412</v>
      </c>
      <c r="B111" s="110" t="s">
        <v>58</v>
      </c>
      <c r="C111" s="110" t="s">
        <v>170</v>
      </c>
      <c r="D111" s="110" t="s">
        <v>171</v>
      </c>
      <c r="E111" s="87" t="s">
        <v>172</v>
      </c>
      <c r="F111" s="87" t="s">
        <v>413</v>
      </c>
      <c r="G111" s="88">
        <v>2</v>
      </c>
      <c r="H111" s="88">
        <v>2</v>
      </c>
      <c r="I111" s="88">
        <v>2</v>
      </c>
      <c r="J111" s="88">
        <v>0</v>
      </c>
      <c r="K111" s="87" t="s">
        <v>154</v>
      </c>
      <c r="L111" s="87" t="s">
        <v>3</v>
      </c>
      <c r="M111" s="32">
        <v>18000000</v>
      </c>
      <c r="N111" s="32"/>
      <c r="O111" s="32"/>
      <c r="P111" s="32"/>
      <c r="Q111" s="89"/>
      <c r="R111" s="32">
        <v>30000000</v>
      </c>
      <c r="S111" s="89" t="s">
        <v>414</v>
      </c>
      <c r="T111" s="87" t="s">
        <v>66</v>
      </c>
      <c r="U111" s="32">
        <v>0</v>
      </c>
      <c r="V111" s="87" t="s">
        <v>67</v>
      </c>
      <c r="W111" s="87" t="s">
        <v>68</v>
      </c>
      <c r="X111" s="87" t="s">
        <v>1056</v>
      </c>
      <c r="Y111" s="158" t="s">
        <v>1050</v>
      </c>
      <c r="Z111" s="87"/>
      <c r="AA111" s="117" t="s">
        <v>67</v>
      </c>
      <c r="AB111" s="117"/>
      <c r="AC111" s="162"/>
      <c r="AD111" s="87"/>
      <c r="AE111" s="87"/>
      <c r="AF111" s="87"/>
      <c r="AG111" s="87"/>
      <c r="AH111" s="87"/>
    </row>
    <row r="112" spans="1:34" ht="24.95" customHeight="1" x14ac:dyDescent="0.25">
      <c r="A112" s="101">
        <v>82140000</v>
      </c>
      <c r="B112" s="110" t="s">
        <v>58</v>
      </c>
      <c r="C112" s="110" t="s">
        <v>170</v>
      </c>
      <c r="D112" s="110" t="s">
        <v>171</v>
      </c>
      <c r="E112" s="87" t="s">
        <v>172</v>
      </c>
      <c r="F112" s="87" t="s">
        <v>406</v>
      </c>
      <c r="G112" s="88">
        <v>2</v>
      </c>
      <c r="H112" s="88">
        <v>2</v>
      </c>
      <c r="I112" s="88">
        <v>10</v>
      </c>
      <c r="J112" s="88">
        <v>0</v>
      </c>
      <c r="K112" s="87" t="s">
        <v>83</v>
      </c>
      <c r="L112" s="87" t="s">
        <v>3</v>
      </c>
      <c r="M112" s="32">
        <v>25000000</v>
      </c>
      <c r="N112" s="32"/>
      <c r="O112" s="32"/>
      <c r="P112" s="32"/>
      <c r="Q112" s="89"/>
      <c r="R112" s="32">
        <v>31000000</v>
      </c>
      <c r="S112" s="89" t="s">
        <v>407</v>
      </c>
      <c r="T112" s="87" t="s">
        <v>66</v>
      </c>
      <c r="U112" s="32">
        <v>0</v>
      </c>
      <c r="V112" s="87" t="s">
        <v>67</v>
      </c>
      <c r="W112" s="87" t="s">
        <v>68</v>
      </c>
      <c r="X112" s="87" t="s">
        <v>1057</v>
      </c>
      <c r="Y112" s="158" t="s">
        <v>1050</v>
      </c>
      <c r="Z112" s="87" t="s">
        <v>1058</v>
      </c>
      <c r="AA112" s="117" t="s">
        <v>67</v>
      </c>
      <c r="AB112" s="117"/>
      <c r="AC112" s="162"/>
      <c r="AD112" s="87"/>
      <c r="AE112" s="87"/>
      <c r="AF112" s="87"/>
      <c r="AG112" s="87"/>
      <c r="AH112" s="87"/>
    </row>
    <row r="113" spans="1:34" ht="24.95" customHeight="1" x14ac:dyDescent="0.25">
      <c r="A113" s="216">
        <v>80131505</v>
      </c>
      <c r="B113" s="292" t="s">
        <v>58</v>
      </c>
      <c r="C113" s="292" t="s">
        <v>170</v>
      </c>
      <c r="D113" s="292" t="s">
        <v>171</v>
      </c>
      <c r="E113" s="214" t="s">
        <v>172</v>
      </c>
      <c r="F113" s="214" t="s">
        <v>478</v>
      </c>
      <c r="G113" s="237">
        <v>2</v>
      </c>
      <c r="H113" s="237">
        <v>2</v>
      </c>
      <c r="I113" s="237">
        <v>10</v>
      </c>
      <c r="J113" s="237">
        <v>0</v>
      </c>
      <c r="K113" s="214" t="s">
        <v>83</v>
      </c>
      <c r="L113" s="214" t="s">
        <v>10</v>
      </c>
      <c r="M113" s="215">
        <v>1500000</v>
      </c>
      <c r="N113" s="220" t="s">
        <v>877</v>
      </c>
      <c r="O113" s="220" t="s">
        <v>5</v>
      </c>
      <c r="P113" s="513">
        <v>201891000290</v>
      </c>
      <c r="Q113" s="220" t="s">
        <v>949</v>
      </c>
      <c r="R113" s="219">
        <v>1500000</v>
      </c>
      <c r="S113" s="220" t="s">
        <v>67</v>
      </c>
      <c r="T113" s="214" t="s">
        <v>66</v>
      </c>
      <c r="U113" s="215">
        <v>0</v>
      </c>
      <c r="V113" s="214" t="s">
        <v>67</v>
      </c>
      <c r="W113" s="214" t="s">
        <v>68</v>
      </c>
      <c r="X113" s="214" t="s">
        <v>1059</v>
      </c>
      <c r="Y113" s="248" t="s">
        <v>1050</v>
      </c>
      <c r="Z113" s="214"/>
      <c r="AA113" s="229" t="s">
        <v>67</v>
      </c>
      <c r="AB113" s="13"/>
      <c r="AC113" s="163"/>
      <c r="AD113" s="21"/>
      <c r="AE113" s="21"/>
      <c r="AF113" s="21"/>
      <c r="AG113" s="21"/>
      <c r="AH113" s="21"/>
    </row>
    <row r="114" spans="1:34" ht="24.95" customHeight="1" x14ac:dyDescent="0.25">
      <c r="A114" s="26">
        <v>80131505</v>
      </c>
      <c r="B114" s="36" t="s">
        <v>58</v>
      </c>
      <c r="C114" s="36" t="s">
        <v>170</v>
      </c>
      <c r="D114" s="36" t="s">
        <v>171</v>
      </c>
      <c r="E114" s="21" t="s">
        <v>176</v>
      </c>
      <c r="F114" s="21" t="s">
        <v>177</v>
      </c>
      <c r="G114" s="22">
        <v>3</v>
      </c>
      <c r="H114" s="22">
        <v>3</v>
      </c>
      <c r="I114" s="22">
        <v>2</v>
      </c>
      <c r="J114" s="22">
        <v>0</v>
      </c>
      <c r="K114" s="21" t="s">
        <v>83</v>
      </c>
      <c r="L114" s="21" t="s">
        <v>3</v>
      </c>
      <c r="M114" s="23">
        <v>18000000</v>
      </c>
      <c r="N114" s="220" t="s">
        <v>877</v>
      </c>
      <c r="O114" s="220" t="s">
        <v>5</v>
      </c>
      <c r="P114" s="513">
        <v>201891000290</v>
      </c>
      <c r="Q114" s="220" t="s">
        <v>949</v>
      </c>
      <c r="R114" s="45">
        <v>18000000</v>
      </c>
      <c r="S114" s="86" t="s">
        <v>67</v>
      </c>
      <c r="T114" s="21" t="s">
        <v>66</v>
      </c>
      <c r="U114" s="23">
        <v>0</v>
      </c>
      <c r="V114" s="21" t="s">
        <v>67</v>
      </c>
      <c r="W114" s="21" t="s">
        <v>68</v>
      </c>
      <c r="X114" s="21" t="s">
        <v>1060</v>
      </c>
      <c r="Y114" s="159" t="s">
        <v>1050</v>
      </c>
      <c r="Z114" s="21"/>
      <c r="AA114" s="13" t="s">
        <v>67</v>
      </c>
      <c r="AB114" s="13"/>
      <c r="AC114" s="163"/>
      <c r="AD114" s="21"/>
      <c r="AE114" s="21"/>
      <c r="AF114" s="21"/>
      <c r="AG114" s="21"/>
      <c r="AH114" s="21"/>
    </row>
    <row r="115" spans="1:34" ht="24.95" customHeight="1" x14ac:dyDescent="0.25">
      <c r="A115" s="26">
        <v>82121900</v>
      </c>
      <c r="B115" s="36" t="s">
        <v>58</v>
      </c>
      <c r="C115" s="36" t="s">
        <v>170</v>
      </c>
      <c r="D115" s="36" t="s">
        <v>171</v>
      </c>
      <c r="E115" s="21" t="s">
        <v>399</v>
      </c>
      <c r="F115" s="21" t="s">
        <v>400</v>
      </c>
      <c r="G115" s="22">
        <v>1</v>
      </c>
      <c r="H115" s="22">
        <v>1</v>
      </c>
      <c r="I115" s="22">
        <v>9</v>
      </c>
      <c r="J115" s="22">
        <v>0</v>
      </c>
      <c r="K115" s="21" t="s">
        <v>83</v>
      </c>
      <c r="L115" s="21" t="s">
        <v>3</v>
      </c>
      <c r="M115" s="23">
        <v>16200000</v>
      </c>
      <c r="N115" s="23"/>
      <c r="O115" s="23"/>
      <c r="P115" s="23"/>
      <c r="Q115" s="86"/>
      <c r="R115" s="45">
        <v>16200000</v>
      </c>
      <c r="S115" s="86" t="s">
        <v>401</v>
      </c>
      <c r="T115" s="21" t="s">
        <v>66</v>
      </c>
      <c r="U115" s="23">
        <v>0</v>
      </c>
      <c r="V115" s="21" t="s">
        <v>67</v>
      </c>
      <c r="W115" s="21" t="s">
        <v>68</v>
      </c>
      <c r="X115" s="21" t="s">
        <v>1061</v>
      </c>
      <c r="Y115" s="159" t="s">
        <v>1050</v>
      </c>
      <c r="Z115" s="21" t="s">
        <v>961</v>
      </c>
      <c r="AA115" s="13" t="s">
        <v>67</v>
      </c>
      <c r="AB115" s="13"/>
      <c r="AC115" s="163"/>
      <c r="AD115" s="21"/>
      <c r="AE115" s="21"/>
      <c r="AF115" s="21"/>
      <c r="AG115" s="21"/>
      <c r="AH115" s="21"/>
    </row>
    <row r="116" spans="1:34" ht="24.95" customHeight="1" x14ac:dyDescent="0.25">
      <c r="A116" s="26">
        <v>0</v>
      </c>
      <c r="B116" s="36" t="s">
        <v>58</v>
      </c>
      <c r="C116" s="36" t="s">
        <v>170</v>
      </c>
      <c r="D116" s="36" t="s">
        <v>171</v>
      </c>
      <c r="E116" s="21" t="s">
        <v>176</v>
      </c>
      <c r="F116" s="21" t="s">
        <v>466</v>
      </c>
      <c r="G116" s="22">
        <v>5</v>
      </c>
      <c r="H116" s="22">
        <v>5</v>
      </c>
      <c r="I116" s="22">
        <v>1</v>
      </c>
      <c r="J116" s="22">
        <v>0</v>
      </c>
      <c r="K116" s="21" t="s">
        <v>83</v>
      </c>
      <c r="L116" s="21" t="s">
        <v>10</v>
      </c>
      <c r="M116" s="23">
        <v>5000000</v>
      </c>
      <c r="N116" s="220" t="s">
        <v>877</v>
      </c>
      <c r="O116" s="220" t="s">
        <v>5</v>
      </c>
      <c r="P116" s="513">
        <v>201891000290</v>
      </c>
      <c r="Q116" s="220" t="s">
        <v>949</v>
      </c>
      <c r="R116" s="45">
        <v>5000000</v>
      </c>
      <c r="S116" s="86" t="s">
        <v>67</v>
      </c>
      <c r="T116" s="21" t="s">
        <v>66</v>
      </c>
      <c r="U116" s="23">
        <v>0</v>
      </c>
      <c r="V116" s="21" t="s">
        <v>67</v>
      </c>
      <c r="W116" s="21" t="s">
        <v>68</v>
      </c>
      <c r="X116" s="21" t="s">
        <v>1062</v>
      </c>
      <c r="Y116" s="159" t="s">
        <v>1050</v>
      </c>
      <c r="Z116" s="21"/>
      <c r="AA116" s="13" t="s">
        <v>67</v>
      </c>
      <c r="AB116" s="13"/>
      <c r="AC116" s="163"/>
      <c r="AD116" s="21"/>
      <c r="AE116" s="21"/>
      <c r="AF116" s="21"/>
      <c r="AG116" s="21"/>
      <c r="AH116" s="21"/>
    </row>
    <row r="117" spans="1:34" ht="24.95" customHeight="1" x14ac:dyDescent="0.25">
      <c r="A117" s="26">
        <v>82111800</v>
      </c>
      <c r="B117" s="36" t="s">
        <v>58</v>
      </c>
      <c r="C117" s="36" t="s">
        <v>170</v>
      </c>
      <c r="D117" s="36" t="s">
        <v>171</v>
      </c>
      <c r="E117" s="21" t="s">
        <v>176</v>
      </c>
      <c r="F117" s="21" t="s">
        <v>179</v>
      </c>
      <c r="G117" s="22">
        <v>3</v>
      </c>
      <c r="H117" s="22">
        <v>3</v>
      </c>
      <c r="I117" s="22">
        <v>8</v>
      </c>
      <c r="J117" s="22">
        <v>0</v>
      </c>
      <c r="K117" s="21" t="s">
        <v>83</v>
      </c>
      <c r="L117" s="21" t="s">
        <v>10</v>
      </c>
      <c r="M117" s="23">
        <v>1500000</v>
      </c>
      <c r="N117" s="220" t="s">
        <v>877</v>
      </c>
      <c r="O117" s="220" t="s">
        <v>5</v>
      </c>
      <c r="P117" s="513">
        <v>201891000290</v>
      </c>
      <c r="Q117" s="220" t="s">
        <v>949</v>
      </c>
      <c r="R117" s="45">
        <v>1500000</v>
      </c>
      <c r="S117" s="86" t="s">
        <v>67</v>
      </c>
      <c r="T117" s="21" t="s">
        <v>66</v>
      </c>
      <c r="U117" s="23">
        <v>0</v>
      </c>
      <c r="V117" s="21" t="s">
        <v>67</v>
      </c>
      <c r="W117" s="21" t="s">
        <v>68</v>
      </c>
      <c r="X117" s="21" t="s">
        <v>1063</v>
      </c>
      <c r="Y117" s="159" t="s">
        <v>1050</v>
      </c>
      <c r="Z117" s="21" t="s">
        <v>63</v>
      </c>
      <c r="AA117" s="13" t="s">
        <v>67</v>
      </c>
      <c r="AB117" s="13"/>
      <c r="AC117" s="163"/>
      <c r="AD117" s="21"/>
      <c r="AE117" s="21"/>
      <c r="AF117" s="21"/>
      <c r="AG117" s="21"/>
      <c r="AH117" s="21"/>
    </row>
    <row r="118" spans="1:34" ht="24.95" customHeight="1" x14ac:dyDescent="0.25">
      <c r="A118" s="26">
        <v>5600000</v>
      </c>
      <c r="B118" s="36" t="s">
        <v>58</v>
      </c>
      <c r="C118" s="36" t="s">
        <v>170</v>
      </c>
      <c r="D118" s="36" t="s">
        <v>171</v>
      </c>
      <c r="E118" s="21" t="s">
        <v>176</v>
      </c>
      <c r="F118" s="21" t="s">
        <v>404</v>
      </c>
      <c r="G118" s="22">
        <v>3</v>
      </c>
      <c r="H118" s="22">
        <v>3</v>
      </c>
      <c r="I118" s="22">
        <v>2</v>
      </c>
      <c r="J118" s="22">
        <v>0</v>
      </c>
      <c r="K118" s="21" t="s">
        <v>154</v>
      </c>
      <c r="L118" s="21" t="s">
        <v>10</v>
      </c>
      <c r="M118" s="23">
        <v>20000000</v>
      </c>
      <c r="N118" s="220" t="s">
        <v>877</v>
      </c>
      <c r="O118" s="220" t="s">
        <v>5</v>
      </c>
      <c r="P118" s="513">
        <v>201891000290</v>
      </c>
      <c r="Q118" s="220" t="s">
        <v>949</v>
      </c>
      <c r="R118" s="45">
        <v>20000000</v>
      </c>
      <c r="S118" s="86" t="s">
        <v>405</v>
      </c>
      <c r="T118" s="21" t="s">
        <v>66</v>
      </c>
      <c r="U118" s="23">
        <v>0</v>
      </c>
      <c r="V118" s="21" t="s">
        <v>67</v>
      </c>
      <c r="W118" s="21" t="s">
        <v>68</v>
      </c>
      <c r="X118" s="21" t="s">
        <v>1064</v>
      </c>
      <c r="Y118" s="159" t="s">
        <v>1050</v>
      </c>
      <c r="Z118" s="21"/>
      <c r="AA118" s="13" t="s">
        <v>67</v>
      </c>
      <c r="AB118" s="13"/>
      <c r="AC118" s="163"/>
      <c r="AD118" s="21"/>
      <c r="AE118" s="21"/>
      <c r="AF118" s="21"/>
      <c r="AG118" s="21"/>
      <c r="AH118" s="21"/>
    </row>
    <row r="119" spans="1:34" ht="24.95" customHeight="1" x14ac:dyDescent="0.25">
      <c r="A119" s="26">
        <v>82111800</v>
      </c>
      <c r="B119" s="36" t="s">
        <v>58</v>
      </c>
      <c r="C119" s="36" t="s">
        <v>170</v>
      </c>
      <c r="D119" s="36" t="s">
        <v>171</v>
      </c>
      <c r="E119" s="21" t="s">
        <v>176</v>
      </c>
      <c r="F119" s="21" t="s">
        <v>181</v>
      </c>
      <c r="G119" s="22">
        <v>1</v>
      </c>
      <c r="H119" s="22">
        <v>1</v>
      </c>
      <c r="I119" s="22">
        <v>3</v>
      </c>
      <c r="J119" s="22">
        <v>0</v>
      </c>
      <c r="K119" s="21" t="s">
        <v>83</v>
      </c>
      <c r="L119" s="21" t="s">
        <v>3</v>
      </c>
      <c r="M119" s="23">
        <v>6600000</v>
      </c>
      <c r="N119" s="23"/>
      <c r="O119" s="23"/>
      <c r="P119" s="23"/>
      <c r="Q119" s="86"/>
      <c r="R119" s="45">
        <v>6600000</v>
      </c>
      <c r="S119" s="86" t="s">
        <v>67</v>
      </c>
      <c r="T119" s="21" t="s">
        <v>66</v>
      </c>
      <c r="U119" s="23">
        <v>0</v>
      </c>
      <c r="V119" s="21" t="s">
        <v>67</v>
      </c>
      <c r="W119" s="21" t="s">
        <v>68</v>
      </c>
      <c r="X119" s="21" t="s">
        <v>1064</v>
      </c>
      <c r="Y119" s="159" t="s">
        <v>1050</v>
      </c>
      <c r="Z119" s="21"/>
      <c r="AA119" s="13" t="s">
        <v>67</v>
      </c>
      <c r="AB119" s="13"/>
      <c r="AC119" s="163"/>
      <c r="AD119" s="21"/>
      <c r="AE119" s="21"/>
      <c r="AF119" s="21"/>
      <c r="AG119" s="21"/>
      <c r="AH119" s="21"/>
    </row>
    <row r="120" spans="1:34" ht="24.95" customHeight="1" x14ac:dyDescent="0.25">
      <c r="A120" s="188">
        <v>86101700</v>
      </c>
      <c r="B120" s="306" t="s">
        <v>58</v>
      </c>
      <c r="C120" s="306" t="s">
        <v>170</v>
      </c>
      <c r="D120" s="306" t="s">
        <v>171</v>
      </c>
      <c r="E120" s="189" t="s">
        <v>176</v>
      </c>
      <c r="F120" s="189" t="s">
        <v>1065</v>
      </c>
      <c r="G120" s="190">
        <v>3</v>
      </c>
      <c r="H120" s="190">
        <v>3</v>
      </c>
      <c r="I120" s="190">
        <v>6</v>
      </c>
      <c r="J120" s="190">
        <v>0</v>
      </c>
      <c r="K120" s="189" t="s">
        <v>83</v>
      </c>
      <c r="L120" s="115" t="s">
        <v>67</v>
      </c>
      <c r="M120" s="191">
        <f>32000000-32000000</f>
        <v>0</v>
      </c>
      <c r="N120" s="191"/>
      <c r="O120" s="191"/>
      <c r="P120" s="191"/>
      <c r="Q120" s="192"/>
      <c r="R120" s="191">
        <v>32000000</v>
      </c>
      <c r="S120" s="192" t="s">
        <v>67</v>
      </c>
      <c r="T120" s="189" t="s">
        <v>66</v>
      </c>
      <c r="U120" s="191">
        <v>0</v>
      </c>
      <c r="V120" s="189" t="s">
        <v>67</v>
      </c>
      <c r="W120" s="189" t="s">
        <v>68</v>
      </c>
      <c r="X120" s="189" t="s">
        <v>1064</v>
      </c>
      <c r="Y120" s="193" t="s">
        <v>1050</v>
      </c>
      <c r="Z120" s="189" t="s">
        <v>1066</v>
      </c>
      <c r="AA120" s="185" t="s">
        <v>67</v>
      </c>
      <c r="AB120" s="13"/>
      <c r="AC120" s="163"/>
      <c r="AD120" s="21"/>
      <c r="AE120" s="21"/>
      <c r="AF120" s="21"/>
      <c r="AG120" s="21"/>
      <c r="AH120" s="21"/>
    </row>
    <row r="121" spans="1:34" ht="24.95" customHeight="1" x14ac:dyDescent="0.25">
      <c r="A121" s="101">
        <v>93141708</v>
      </c>
      <c r="B121" s="110" t="s">
        <v>58</v>
      </c>
      <c r="C121" s="110" t="s">
        <v>182</v>
      </c>
      <c r="D121" s="110" t="s">
        <v>171</v>
      </c>
      <c r="E121" s="87" t="s">
        <v>183</v>
      </c>
      <c r="F121" s="108" t="s">
        <v>428</v>
      </c>
      <c r="G121" s="109">
        <v>1</v>
      </c>
      <c r="H121" s="88">
        <v>1</v>
      </c>
      <c r="I121" s="88">
        <v>10</v>
      </c>
      <c r="J121" s="88">
        <v>15</v>
      </c>
      <c r="K121" s="87" t="s">
        <v>83</v>
      </c>
      <c r="L121" s="87" t="s">
        <v>3</v>
      </c>
      <c r="M121" s="32">
        <v>72560527.772727266</v>
      </c>
      <c r="N121" s="89" t="s">
        <v>861</v>
      </c>
      <c r="O121" s="89" t="s">
        <v>6</v>
      </c>
      <c r="P121" s="510">
        <v>201891000290</v>
      </c>
      <c r="Q121" s="89" t="s">
        <v>949</v>
      </c>
      <c r="R121" s="32">
        <v>76015791</v>
      </c>
      <c r="S121" s="89" t="s">
        <v>197</v>
      </c>
      <c r="T121" s="87" t="s">
        <v>66</v>
      </c>
      <c r="U121" s="32">
        <v>0</v>
      </c>
      <c r="V121" s="87" t="s">
        <v>67</v>
      </c>
      <c r="W121" s="87" t="s">
        <v>68</v>
      </c>
      <c r="X121" s="87" t="s">
        <v>121</v>
      </c>
      <c r="Y121" s="101" t="s">
        <v>1067</v>
      </c>
      <c r="Z121" s="90" t="s">
        <v>957</v>
      </c>
      <c r="AA121" s="117" t="s">
        <v>67</v>
      </c>
      <c r="AB121" s="117"/>
      <c r="AC121" s="162"/>
      <c r="AD121" s="87"/>
      <c r="AE121" s="87"/>
      <c r="AF121" s="87"/>
      <c r="AG121" s="87"/>
      <c r="AH121" s="87"/>
    </row>
    <row r="122" spans="1:34" ht="24.95" customHeight="1" x14ac:dyDescent="0.25">
      <c r="A122" s="101">
        <v>93141708</v>
      </c>
      <c r="B122" s="110" t="s">
        <v>58</v>
      </c>
      <c r="C122" s="110" t="s">
        <v>182</v>
      </c>
      <c r="D122" s="110" t="s">
        <v>171</v>
      </c>
      <c r="E122" s="87" t="s">
        <v>183</v>
      </c>
      <c r="F122" s="108" t="s">
        <v>429</v>
      </c>
      <c r="G122" s="109">
        <v>1</v>
      </c>
      <c r="H122" s="88">
        <v>1</v>
      </c>
      <c r="I122" s="88">
        <v>10</v>
      </c>
      <c r="J122" s="88">
        <v>15</v>
      </c>
      <c r="K122" s="87" t="s">
        <v>83</v>
      </c>
      <c r="L122" s="87" t="s">
        <v>3</v>
      </c>
      <c r="M122" s="32">
        <v>64252952.590909094</v>
      </c>
      <c r="N122" s="89" t="s">
        <v>861</v>
      </c>
      <c r="O122" s="89" t="s">
        <v>6</v>
      </c>
      <c r="P122" s="510">
        <v>201891000290</v>
      </c>
      <c r="Q122" s="89" t="s">
        <v>949</v>
      </c>
      <c r="R122" s="32">
        <v>67312617</v>
      </c>
      <c r="S122" s="89" t="s">
        <v>197</v>
      </c>
      <c r="T122" s="87" t="s">
        <v>66</v>
      </c>
      <c r="U122" s="32">
        <v>0</v>
      </c>
      <c r="V122" s="87" t="s">
        <v>67</v>
      </c>
      <c r="W122" s="87" t="s">
        <v>68</v>
      </c>
      <c r="X122" s="117"/>
      <c r="Y122" s="101" t="s">
        <v>961</v>
      </c>
      <c r="Z122" s="87" t="s">
        <v>1067</v>
      </c>
      <c r="AA122" s="117" t="s">
        <v>67</v>
      </c>
      <c r="AB122" s="117"/>
      <c r="AC122" s="162"/>
      <c r="AD122" s="87"/>
      <c r="AE122" s="87"/>
      <c r="AF122" s="87"/>
      <c r="AG122" s="87"/>
      <c r="AH122" s="87"/>
    </row>
    <row r="123" spans="1:34" ht="24.95" customHeight="1" x14ac:dyDescent="0.25">
      <c r="A123" s="101">
        <v>93141708</v>
      </c>
      <c r="B123" s="110" t="s">
        <v>58</v>
      </c>
      <c r="C123" s="110" t="s">
        <v>182</v>
      </c>
      <c r="D123" s="110" t="s">
        <v>171</v>
      </c>
      <c r="E123" s="87" t="s">
        <v>183</v>
      </c>
      <c r="F123" s="108" t="s">
        <v>430</v>
      </c>
      <c r="G123" s="109">
        <v>1</v>
      </c>
      <c r="H123" s="88">
        <v>1</v>
      </c>
      <c r="I123" s="88">
        <v>10</v>
      </c>
      <c r="J123" s="88">
        <v>15</v>
      </c>
      <c r="K123" s="87" t="s">
        <v>83</v>
      </c>
      <c r="L123" s="87" t="s">
        <v>3</v>
      </c>
      <c r="M123" s="32">
        <v>64252952.590909094</v>
      </c>
      <c r="N123" s="89" t="s">
        <v>861</v>
      </c>
      <c r="O123" s="89" t="s">
        <v>6</v>
      </c>
      <c r="P123" s="510">
        <v>201891000290</v>
      </c>
      <c r="Q123" s="89" t="s">
        <v>949</v>
      </c>
      <c r="R123" s="32">
        <v>67312617</v>
      </c>
      <c r="S123" s="89" t="s">
        <v>197</v>
      </c>
      <c r="T123" s="87" t="s">
        <v>66</v>
      </c>
      <c r="U123" s="32">
        <v>0</v>
      </c>
      <c r="V123" s="87" t="s">
        <v>67</v>
      </c>
      <c r="W123" s="87" t="s">
        <v>68</v>
      </c>
      <c r="X123" s="117"/>
      <c r="Y123" s="101" t="s">
        <v>961</v>
      </c>
      <c r="Z123" s="87" t="s">
        <v>1067</v>
      </c>
      <c r="AA123" s="117" t="s">
        <v>67</v>
      </c>
      <c r="AB123" s="117"/>
      <c r="AC123" s="162"/>
      <c r="AD123" s="87"/>
      <c r="AE123" s="87"/>
      <c r="AF123" s="87"/>
      <c r="AG123" s="87"/>
      <c r="AH123" s="87"/>
    </row>
    <row r="124" spans="1:34" ht="24.95" customHeight="1" x14ac:dyDescent="0.25">
      <c r="A124" s="101">
        <v>93141708</v>
      </c>
      <c r="B124" s="110" t="s">
        <v>58</v>
      </c>
      <c r="C124" s="110" t="s">
        <v>182</v>
      </c>
      <c r="D124" s="110" t="s">
        <v>171</v>
      </c>
      <c r="E124" s="87" t="s">
        <v>183</v>
      </c>
      <c r="F124" s="108" t="s">
        <v>431</v>
      </c>
      <c r="G124" s="109">
        <v>1</v>
      </c>
      <c r="H124" s="88">
        <v>1</v>
      </c>
      <c r="I124" s="88">
        <v>10</v>
      </c>
      <c r="J124" s="88">
        <v>15</v>
      </c>
      <c r="K124" s="87" t="s">
        <v>83</v>
      </c>
      <c r="L124" s="87" t="s">
        <v>3</v>
      </c>
      <c r="M124" s="32">
        <v>37550073.272727273</v>
      </c>
      <c r="N124" s="89" t="s">
        <v>861</v>
      </c>
      <c r="O124" s="89" t="s">
        <v>6</v>
      </c>
      <c r="P124" s="510">
        <v>201891000290</v>
      </c>
      <c r="Q124" s="89" t="s">
        <v>949</v>
      </c>
      <c r="R124" s="32">
        <v>39338172</v>
      </c>
      <c r="S124" s="89" t="s">
        <v>197</v>
      </c>
      <c r="T124" s="87" t="s">
        <v>66</v>
      </c>
      <c r="U124" s="32">
        <v>0</v>
      </c>
      <c r="V124" s="87" t="s">
        <v>67</v>
      </c>
      <c r="W124" s="87" t="s">
        <v>68</v>
      </c>
      <c r="X124" s="117"/>
      <c r="Y124" s="101" t="s">
        <v>961</v>
      </c>
      <c r="Z124" s="87" t="s">
        <v>1067</v>
      </c>
      <c r="AA124" s="117" t="s">
        <v>67</v>
      </c>
      <c r="AB124" s="117"/>
      <c r="AC124" s="162"/>
      <c r="AD124" s="87"/>
      <c r="AE124" s="87"/>
      <c r="AF124" s="87"/>
      <c r="AG124" s="87"/>
      <c r="AH124" s="87"/>
    </row>
    <row r="125" spans="1:34" ht="24.95" customHeight="1" x14ac:dyDescent="0.25">
      <c r="A125" s="101" t="s">
        <v>432</v>
      </c>
      <c r="B125" s="110" t="s">
        <v>58</v>
      </c>
      <c r="C125" s="110" t="s">
        <v>182</v>
      </c>
      <c r="D125" s="110" t="s">
        <v>171</v>
      </c>
      <c r="E125" s="87" t="s">
        <v>183</v>
      </c>
      <c r="F125" s="108" t="s">
        <v>433</v>
      </c>
      <c r="G125" s="109">
        <v>1</v>
      </c>
      <c r="H125" s="88">
        <v>1</v>
      </c>
      <c r="I125" s="88">
        <v>10</v>
      </c>
      <c r="J125" s="88">
        <v>15</v>
      </c>
      <c r="K125" s="87" t="s">
        <v>83</v>
      </c>
      <c r="L125" s="87" t="s">
        <v>10</v>
      </c>
      <c r="M125" s="32">
        <v>37550073.272727273</v>
      </c>
      <c r="N125" s="148" t="s">
        <v>185</v>
      </c>
      <c r="O125" s="148" t="s">
        <v>13</v>
      </c>
      <c r="P125" s="512">
        <v>2018011000284</v>
      </c>
      <c r="Q125" s="89" t="s">
        <v>950</v>
      </c>
      <c r="R125" s="32">
        <v>39338172</v>
      </c>
      <c r="S125" s="89" t="s">
        <v>197</v>
      </c>
      <c r="T125" s="87" t="s">
        <v>66</v>
      </c>
      <c r="U125" s="32">
        <v>0</v>
      </c>
      <c r="V125" s="87" t="s">
        <v>67</v>
      </c>
      <c r="W125" s="87" t="s">
        <v>68</v>
      </c>
      <c r="X125" s="117"/>
      <c r="Y125" s="101" t="s">
        <v>961</v>
      </c>
      <c r="Z125" s="87" t="s">
        <v>1067</v>
      </c>
      <c r="AA125" s="117" t="s">
        <v>67</v>
      </c>
      <c r="AB125" s="117"/>
      <c r="AC125" s="162"/>
      <c r="AD125" s="87"/>
      <c r="AE125" s="87"/>
      <c r="AF125" s="87"/>
      <c r="AG125" s="87"/>
      <c r="AH125" s="87"/>
    </row>
    <row r="126" spans="1:34" ht="24.95" customHeight="1" x14ac:dyDescent="0.25">
      <c r="A126" s="101" t="s">
        <v>432</v>
      </c>
      <c r="B126" s="110" t="s">
        <v>58</v>
      </c>
      <c r="C126" s="110" t="s">
        <v>182</v>
      </c>
      <c r="D126" s="110" t="s">
        <v>171</v>
      </c>
      <c r="E126" s="87" t="s">
        <v>183</v>
      </c>
      <c r="F126" s="108" t="s">
        <v>434</v>
      </c>
      <c r="G126" s="109">
        <v>1</v>
      </c>
      <c r="H126" s="88">
        <v>1</v>
      </c>
      <c r="I126" s="88">
        <v>10</v>
      </c>
      <c r="J126" s="88">
        <v>15</v>
      </c>
      <c r="K126" s="87" t="s">
        <v>83</v>
      </c>
      <c r="L126" s="87" t="s">
        <v>3</v>
      </c>
      <c r="M126" s="32">
        <v>17314755.818181816</v>
      </c>
      <c r="N126" s="89" t="s">
        <v>861</v>
      </c>
      <c r="O126" s="89" t="s">
        <v>6</v>
      </c>
      <c r="P126" s="510">
        <v>201891000290</v>
      </c>
      <c r="Q126" s="89" t="s">
        <v>949</v>
      </c>
      <c r="R126" s="32">
        <v>18139268</v>
      </c>
      <c r="S126" s="89" t="s">
        <v>197</v>
      </c>
      <c r="T126" s="87" t="s">
        <v>66</v>
      </c>
      <c r="U126" s="32">
        <v>0</v>
      </c>
      <c r="V126" s="87" t="s">
        <v>67</v>
      </c>
      <c r="W126" s="87" t="s">
        <v>68</v>
      </c>
      <c r="X126" s="117"/>
      <c r="Y126" s="101" t="s">
        <v>961</v>
      </c>
      <c r="Z126" s="87" t="s">
        <v>1067</v>
      </c>
      <c r="AA126" s="117" t="s">
        <v>67</v>
      </c>
      <c r="AB126" s="117"/>
      <c r="AC126" s="162"/>
      <c r="AD126" s="87"/>
      <c r="AE126" s="87"/>
      <c r="AF126" s="87"/>
      <c r="AG126" s="87"/>
      <c r="AH126" s="87"/>
    </row>
    <row r="127" spans="1:34" ht="24.95" customHeight="1" x14ac:dyDescent="0.25">
      <c r="A127" s="101">
        <v>93141708</v>
      </c>
      <c r="B127" s="110" t="s">
        <v>58</v>
      </c>
      <c r="C127" s="110" t="s">
        <v>182</v>
      </c>
      <c r="D127" s="110" t="s">
        <v>171</v>
      </c>
      <c r="E127" s="87" t="s">
        <v>183</v>
      </c>
      <c r="F127" s="108" t="s">
        <v>196</v>
      </c>
      <c r="G127" s="109">
        <v>1</v>
      </c>
      <c r="H127" s="88">
        <v>1</v>
      </c>
      <c r="I127" s="88">
        <v>10</v>
      </c>
      <c r="J127" s="88">
        <v>15</v>
      </c>
      <c r="K127" s="87" t="s">
        <v>83</v>
      </c>
      <c r="L127" s="87" t="s">
        <v>3</v>
      </c>
      <c r="M127" s="32">
        <f>22909091.9090909-10694888</f>
        <v>12214203.909090899</v>
      </c>
      <c r="N127" s="89" t="s">
        <v>861</v>
      </c>
      <c r="O127" s="89" t="s">
        <v>6</v>
      </c>
      <c r="P127" s="510">
        <v>201891000290</v>
      </c>
      <c r="Q127" s="89" t="s">
        <v>949</v>
      </c>
      <c r="R127" s="32">
        <f>24000000</f>
        <v>24000000</v>
      </c>
      <c r="S127" s="89" t="s">
        <v>197</v>
      </c>
      <c r="T127" s="87" t="s">
        <v>66</v>
      </c>
      <c r="U127" s="32">
        <v>0</v>
      </c>
      <c r="V127" s="87" t="s">
        <v>67</v>
      </c>
      <c r="W127" s="87" t="s">
        <v>68</v>
      </c>
      <c r="X127" s="117"/>
      <c r="Y127" s="101" t="s">
        <v>961</v>
      </c>
      <c r="Z127" s="87" t="s">
        <v>1067</v>
      </c>
      <c r="AA127" s="117" t="s">
        <v>67</v>
      </c>
      <c r="AB127" s="117"/>
      <c r="AC127" s="162"/>
      <c r="AD127" s="87"/>
      <c r="AE127" s="87"/>
      <c r="AF127" s="87"/>
      <c r="AG127" s="87"/>
      <c r="AH127" s="87"/>
    </row>
    <row r="128" spans="1:34" ht="24.95" customHeight="1" x14ac:dyDescent="0.25">
      <c r="A128" s="101">
        <v>93141709</v>
      </c>
      <c r="B128" s="110" t="s">
        <v>58</v>
      </c>
      <c r="C128" s="110" t="s">
        <v>182</v>
      </c>
      <c r="D128" s="110" t="s">
        <v>171</v>
      </c>
      <c r="E128" s="87" t="s">
        <v>183</v>
      </c>
      <c r="F128" s="108" t="s">
        <v>196</v>
      </c>
      <c r="G128" s="109">
        <v>1</v>
      </c>
      <c r="H128" s="88">
        <v>1</v>
      </c>
      <c r="I128" s="88">
        <v>10</v>
      </c>
      <c r="J128" s="88">
        <v>15</v>
      </c>
      <c r="K128" s="87" t="s">
        <v>83</v>
      </c>
      <c r="L128" s="87" t="s">
        <v>3</v>
      </c>
      <c r="M128" s="32">
        <v>10694888</v>
      </c>
      <c r="N128" s="89" t="s">
        <v>872</v>
      </c>
      <c r="O128" s="89" t="s">
        <v>5</v>
      </c>
      <c r="P128" s="32"/>
      <c r="Q128" s="89"/>
      <c r="R128" s="32"/>
      <c r="S128" s="89" t="s">
        <v>197</v>
      </c>
      <c r="T128" s="87" t="s">
        <v>66</v>
      </c>
      <c r="U128" s="32">
        <v>1</v>
      </c>
      <c r="V128" s="87" t="s">
        <v>67</v>
      </c>
      <c r="W128" s="87" t="s">
        <v>68</v>
      </c>
      <c r="X128" s="117"/>
      <c r="Y128" s="101" t="s">
        <v>961</v>
      </c>
      <c r="Z128" s="87" t="s">
        <v>1068</v>
      </c>
      <c r="AA128" s="117" t="s">
        <v>67</v>
      </c>
      <c r="AB128" s="117"/>
      <c r="AC128" s="162"/>
      <c r="AD128" s="87"/>
      <c r="AE128" s="87"/>
      <c r="AF128" s="87"/>
      <c r="AG128" s="87"/>
      <c r="AH128" s="87"/>
    </row>
    <row r="129" spans="1:34" ht="24.95" customHeight="1" x14ac:dyDescent="0.25">
      <c r="A129" s="216">
        <v>93141708</v>
      </c>
      <c r="B129" s="292" t="s">
        <v>58</v>
      </c>
      <c r="C129" s="292" t="s">
        <v>182</v>
      </c>
      <c r="D129" s="292" t="s">
        <v>171</v>
      </c>
      <c r="E129" s="214" t="s">
        <v>183</v>
      </c>
      <c r="F129" s="249" t="s">
        <v>184</v>
      </c>
      <c r="G129" s="250">
        <v>4</v>
      </c>
      <c r="H129" s="237">
        <v>4</v>
      </c>
      <c r="I129" s="237">
        <v>1</v>
      </c>
      <c r="J129" s="237">
        <v>0</v>
      </c>
      <c r="K129" s="214" t="s">
        <v>83</v>
      </c>
      <c r="L129" s="214" t="s">
        <v>10</v>
      </c>
      <c r="M129" s="215">
        <v>3693867</v>
      </c>
      <c r="N129" s="507" t="s">
        <v>185</v>
      </c>
      <c r="O129" s="507" t="s">
        <v>13</v>
      </c>
      <c r="P129" s="511">
        <v>2018011000284</v>
      </c>
      <c r="Q129" s="86" t="s">
        <v>950</v>
      </c>
      <c r="R129" s="219">
        <v>3693867</v>
      </c>
      <c r="S129" s="220" t="s">
        <v>67</v>
      </c>
      <c r="T129" s="214" t="s">
        <v>66</v>
      </c>
      <c r="U129" s="215">
        <v>0</v>
      </c>
      <c r="V129" s="214" t="s">
        <v>67</v>
      </c>
      <c r="W129" s="214" t="s">
        <v>68</v>
      </c>
      <c r="Y129" s="216" t="s">
        <v>961</v>
      </c>
      <c r="Z129" s="214" t="s">
        <v>1067</v>
      </c>
      <c r="AA129" s="229"/>
      <c r="AB129" s="21" t="s">
        <v>186</v>
      </c>
      <c r="AC129" s="163"/>
      <c r="AD129" s="21"/>
      <c r="AE129" s="21"/>
      <c r="AF129" s="21"/>
      <c r="AG129" s="21"/>
      <c r="AH129" s="21"/>
    </row>
    <row r="130" spans="1:34" ht="24.95" customHeight="1" x14ac:dyDescent="0.25">
      <c r="A130" s="26">
        <v>93141708</v>
      </c>
      <c r="B130" s="36" t="s">
        <v>58</v>
      </c>
      <c r="C130" s="36" t="s">
        <v>182</v>
      </c>
      <c r="D130" s="36" t="s">
        <v>171</v>
      </c>
      <c r="E130" s="21" t="s">
        <v>183</v>
      </c>
      <c r="F130" s="28" t="s">
        <v>187</v>
      </c>
      <c r="G130" s="29">
        <v>9</v>
      </c>
      <c r="H130" s="22">
        <v>9</v>
      </c>
      <c r="I130" s="22">
        <v>1</v>
      </c>
      <c r="J130" s="22">
        <v>0</v>
      </c>
      <c r="K130" s="21" t="s">
        <v>83</v>
      </c>
      <c r="L130" s="21" t="s">
        <v>10</v>
      </c>
      <c r="M130" s="23">
        <f>1300000-9960</f>
        <v>1290040</v>
      </c>
      <c r="N130" s="86" t="s">
        <v>861</v>
      </c>
      <c r="O130" s="86" t="s">
        <v>1069</v>
      </c>
      <c r="P130" s="513">
        <v>201891000290</v>
      </c>
      <c r="Q130" s="86" t="s">
        <v>949</v>
      </c>
      <c r="R130" s="45">
        <v>1300000</v>
      </c>
      <c r="S130" s="86" t="s">
        <v>67</v>
      </c>
      <c r="T130" s="21" t="s">
        <v>66</v>
      </c>
      <c r="U130" s="23">
        <v>0</v>
      </c>
      <c r="V130" s="21" t="s">
        <v>67</v>
      </c>
      <c r="W130" s="21" t="s">
        <v>68</v>
      </c>
      <c r="Y130" s="26" t="s">
        <v>961</v>
      </c>
      <c r="Z130" s="21" t="s">
        <v>1067</v>
      </c>
      <c r="AA130" s="13"/>
      <c r="AB130" s="21" t="s">
        <v>63</v>
      </c>
      <c r="AC130" s="163"/>
      <c r="AD130" s="21"/>
      <c r="AE130" s="21"/>
      <c r="AF130" s="21"/>
      <c r="AG130" s="21"/>
      <c r="AH130" s="21"/>
    </row>
    <row r="131" spans="1:34" ht="24.95" customHeight="1" x14ac:dyDescent="0.25">
      <c r="A131" s="26">
        <v>86101600</v>
      </c>
      <c r="B131" s="36" t="s">
        <v>58</v>
      </c>
      <c r="C131" s="36" t="s">
        <v>182</v>
      </c>
      <c r="D131" s="36" t="s">
        <v>171</v>
      </c>
      <c r="E131" s="21" t="s">
        <v>183</v>
      </c>
      <c r="F131" s="30" t="s">
        <v>190</v>
      </c>
      <c r="G131" s="31">
        <v>7</v>
      </c>
      <c r="H131" s="22">
        <v>7</v>
      </c>
      <c r="I131" s="22">
        <v>3</v>
      </c>
      <c r="J131" s="22">
        <v>0</v>
      </c>
      <c r="K131" s="21" t="s">
        <v>83</v>
      </c>
      <c r="L131" s="21" t="s">
        <v>3</v>
      </c>
      <c r="M131" s="23">
        <v>6000000</v>
      </c>
      <c r="N131" s="86" t="s">
        <v>877</v>
      </c>
      <c r="O131" s="86" t="s">
        <v>5</v>
      </c>
      <c r="P131" s="513">
        <v>201891000290</v>
      </c>
      <c r="Q131" s="86" t="s">
        <v>949</v>
      </c>
      <c r="R131" s="45">
        <v>6000000</v>
      </c>
      <c r="S131" s="86" t="s">
        <v>67</v>
      </c>
      <c r="T131" s="21" t="s">
        <v>66</v>
      </c>
      <c r="U131" s="23">
        <v>0</v>
      </c>
      <c r="V131" s="21" t="s">
        <v>67</v>
      </c>
      <c r="W131" s="21" t="s">
        <v>68</v>
      </c>
      <c r="Y131" s="26" t="s">
        <v>961</v>
      </c>
      <c r="Z131" s="21" t="s">
        <v>1067</v>
      </c>
      <c r="AA131" s="13"/>
      <c r="AB131" s="21" t="s">
        <v>63</v>
      </c>
      <c r="AC131" s="163"/>
      <c r="AD131" s="21"/>
      <c r="AE131" s="21"/>
      <c r="AF131" s="21"/>
      <c r="AG131" s="21"/>
      <c r="AH131" s="21"/>
    </row>
    <row r="132" spans="1:34" ht="24.95" customHeight="1" x14ac:dyDescent="0.25">
      <c r="A132" s="26">
        <v>93141708</v>
      </c>
      <c r="B132" s="36" t="s">
        <v>58</v>
      </c>
      <c r="C132" s="36" t="s">
        <v>182</v>
      </c>
      <c r="D132" s="36" t="s">
        <v>171</v>
      </c>
      <c r="E132" s="21" t="s">
        <v>183</v>
      </c>
      <c r="F132" s="30" t="s">
        <v>192</v>
      </c>
      <c r="G132" s="31">
        <v>3</v>
      </c>
      <c r="H132" s="22">
        <v>3</v>
      </c>
      <c r="I132" s="22">
        <v>6</v>
      </c>
      <c r="J132" s="22">
        <v>0</v>
      </c>
      <c r="K132" s="21" t="s">
        <v>83</v>
      </c>
      <c r="L132" s="21" t="s">
        <v>3</v>
      </c>
      <c r="M132" s="23">
        <v>5600000</v>
      </c>
      <c r="N132" s="86" t="s">
        <v>877</v>
      </c>
      <c r="O132" s="86" t="s">
        <v>5</v>
      </c>
      <c r="P132" s="513">
        <v>201891000290</v>
      </c>
      <c r="Q132" s="86" t="s">
        <v>949</v>
      </c>
      <c r="R132" s="45">
        <v>5600000</v>
      </c>
      <c r="S132" s="86" t="s">
        <v>67</v>
      </c>
      <c r="T132" s="21" t="s">
        <v>66</v>
      </c>
      <c r="U132" s="23">
        <v>0</v>
      </c>
      <c r="V132" s="21" t="s">
        <v>67</v>
      </c>
      <c r="W132" s="21" t="s">
        <v>68</v>
      </c>
      <c r="Y132" s="26" t="s">
        <v>961</v>
      </c>
      <c r="Z132" s="21" t="s">
        <v>1067</v>
      </c>
      <c r="AA132" s="13"/>
      <c r="AB132" s="21" t="s">
        <v>63</v>
      </c>
      <c r="AC132" s="163"/>
      <c r="AD132" s="21"/>
      <c r="AE132" s="21"/>
      <c r="AF132" s="21"/>
      <c r="AG132" s="21"/>
      <c r="AH132" s="21"/>
    </row>
    <row r="133" spans="1:34" ht="24.95" customHeight="1" x14ac:dyDescent="0.25">
      <c r="A133" s="26">
        <v>93141708</v>
      </c>
      <c r="B133" s="36" t="s">
        <v>58</v>
      </c>
      <c r="C133" s="36" t="s">
        <v>182</v>
      </c>
      <c r="D133" s="36" t="s">
        <v>171</v>
      </c>
      <c r="E133" s="21" t="s">
        <v>183</v>
      </c>
      <c r="F133" s="30" t="s">
        <v>1070</v>
      </c>
      <c r="G133" s="31">
        <v>1</v>
      </c>
      <c r="H133" s="22">
        <v>1</v>
      </c>
      <c r="I133" s="22">
        <v>2</v>
      </c>
      <c r="J133" s="22">
        <v>0</v>
      </c>
      <c r="K133" s="21" t="s">
        <v>83</v>
      </c>
      <c r="L133" s="21" t="s">
        <v>3</v>
      </c>
      <c r="M133" s="23">
        <v>20000000</v>
      </c>
      <c r="N133" s="86" t="s">
        <v>877</v>
      </c>
      <c r="O133" s="86" t="s">
        <v>5</v>
      </c>
      <c r="P133" s="513">
        <v>201891000290</v>
      </c>
      <c r="Q133" s="86" t="s">
        <v>949</v>
      </c>
      <c r="R133" s="45">
        <v>20000000</v>
      </c>
      <c r="S133" s="86" t="s">
        <v>67</v>
      </c>
      <c r="T133" s="21" t="s">
        <v>66</v>
      </c>
      <c r="U133" s="23">
        <v>0</v>
      </c>
      <c r="V133" s="21" t="s">
        <v>67</v>
      </c>
      <c r="W133" s="21" t="s">
        <v>68</v>
      </c>
      <c r="Y133" s="26" t="s">
        <v>961</v>
      </c>
      <c r="Z133" s="21" t="s">
        <v>1067</v>
      </c>
      <c r="AA133" s="13"/>
      <c r="AB133" s="21" t="s">
        <v>194</v>
      </c>
      <c r="AC133" s="163"/>
      <c r="AD133" s="21"/>
      <c r="AE133" s="21"/>
      <c r="AF133" s="21"/>
      <c r="AG133" s="21"/>
      <c r="AH133" s="21"/>
    </row>
    <row r="134" spans="1:34" ht="24.95" customHeight="1" x14ac:dyDescent="0.25">
      <c r="A134" s="102">
        <v>93141708</v>
      </c>
      <c r="B134" s="307" t="s">
        <v>58</v>
      </c>
      <c r="C134" s="307" t="s">
        <v>182</v>
      </c>
      <c r="D134" s="307" t="s">
        <v>171</v>
      </c>
      <c r="E134" s="96" t="s">
        <v>183</v>
      </c>
      <c r="F134" s="111" t="s">
        <v>1071</v>
      </c>
      <c r="G134" s="112">
        <v>1</v>
      </c>
      <c r="H134" s="97">
        <v>1</v>
      </c>
      <c r="I134" s="112">
        <v>11</v>
      </c>
      <c r="J134" s="97">
        <v>0</v>
      </c>
      <c r="K134" s="96" t="s">
        <v>83</v>
      </c>
      <c r="L134" s="115" t="s">
        <v>67</v>
      </c>
      <c r="M134" s="98">
        <f>67000000-67000000</f>
        <v>0</v>
      </c>
      <c r="N134" s="98"/>
      <c r="O134" s="98"/>
      <c r="P134" s="98"/>
      <c r="Q134" s="99"/>
      <c r="R134" s="98">
        <v>67000000</v>
      </c>
      <c r="S134" s="147" t="s">
        <v>1072</v>
      </c>
      <c r="T134" s="96" t="s">
        <v>66</v>
      </c>
      <c r="U134" s="98">
        <v>0</v>
      </c>
      <c r="V134" s="96" t="s">
        <v>67</v>
      </c>
      <c r="W134" s="96" t="s">
        <v>68</v>
      </c>
      <c r="Y134" s="102" t="s">
        <v>961</v>
      </c>
      <c r="Z134" s="96" t="s">
        <v>1067</v>
      </c>
      <c r="AA134" s="13"/>
      <c r="AB134" s="96" t="s">
        <v>1073</v>
      </c>
      <c r="AC134" s="169"/>
      <c r="AD134" s="96"/>
      <c r="AE134" s="96"/>
      <c r="AF134" s="96"/>
      <c r="AG134" s="96"/>
      <c r="AH134" s="96"/>
    </row>
    <row r="135" spans="1:34" ht="24.95" customHeight="1" x14ac:dyDescent="0.25">
      <c r="A135" s="102">
        <v>93141708</v>
      </c>
      <c r="B135" s="307" t="s">
        <v>58</v>
      </c>
      <c r="C135" s="307" t="s">
        <v>182</v>
      </c>
      <c r="D135" s="307" t="s">
        <v>171</v>
      </c>
      <c r="E135" s="96" t="s">
        <v>183</v>
      </c>
      <c r="F135" s="111" t="s">
        <v>1074</v>
      </c>
      <c r="G135" s="112">
        <v>4</v>
      </c>
      <c r="H135" s="97">
        <v>4</v>
      </c>
      <c r="I135" s="112">
        <v>3</v>
      </c>
      <c r="J135" s="97">
        <v>0</v>
      </c>
      <c r="K135" s="96" t="s">
        <v>83</v>
      </c>
      <c r="L135" s="115" t="s">
        <v>67</v>
      </c>
      <c r="M135" s="98">
        <f>12000000-12000000</f>
        <v>0</v>
      </c>
      <c r="N135" s="98"/>
      <c r="O135" s="98"/>
      <c r="P135" s="98"/>
      <c r="Q135" s="99"/>
      <c r="R135" s="98">
        <v>12000000</v>
      </c>
      <c r="S135" s="147" t="s">
        <v>1075</v>
      </c>
      <c r="T135" s="96" t="s">
        <v>66</v>
      </c>
      <c r="U135" s="98">
        <v>0</v>
      </c>
      <c r="V135" s="96" t="s">
        <v>67</v>
      </c>
      <c r="W135" s="96" t="s">
        <v>68</v>
      </c>
      <c r="Y135" s="102" t="s">
        <v>961</v>
      </c>
      <c r="Z135" s="96" t="s">
        <v>1067</v>
      </c>
      <c r="AA135" s="13"/>
      <c r="AB135" s="96" t="s">
        <v>1076</v>
      </c>
      <c r="AC135" s="169"/>
      <c r="AD135" s="96"/>
      <c r="AE135" s="96"/>
      <c r="AF135" s="96"/>
      <c r="AG135" s="96"/>
      <c r="AH135" s="96"/>
    </row>
    <row r="136" spans="1:34" ht="24.95" customHeight="1" x14ac:dyDescent="0.25">
      <c r="A136" s="26">
        <v>86101700</v>
      </c>
      <c r="B136" s="36" t="s">
        <v>58</v>
      </c>
      <c r="C136" s="36" t="s">
        <v>198</v>
      </c>
      <c r="D136" s="36" t="s">
        <v>60</v>
      </c>
      <c r="E136" s="21" t="s">
        <v>198</v>
      </c>
      <c r="F136" s="21" t="s">
        <v>199</v>
      </c>
      <c r="G136" s="22">
        <v>2</v>
      </c>
      <c r="H136" s="22">
        <v>2</v>
      </c>
      <c r="I136" s="22">
        <v>1</v>
      </c>
      <c r="J136" s="22">
        <v>0</v>
      </c>
      <c r="K136" s="21" t="s">
        <v>200</v>
      </c>
      <c r="L136" s="21" t="s">
        <v>3</v>
      </c>
      <c r="M136" s="23">
        <v>7000000</v>
      </c>
      <c r="N136" s="23"/>
      <c r="O136" s="23"/>
      <c r="P136" s="509"/>
      <c r="Q136" s="86"/>
      <c r="R136" s="45">
        <v>7000000</v>
      </c>
      <c r="S136" s="86" t="s">
        <v>67</v>
      </c>
      <c r="T136" s="21" t="s">
        <v>66</v>
      </c>
      <c r="U136" s="23">
        <v>0</v>
      </c>
      <c r="V136" s="21" t="s">
        <v>67</v>
      </c>
      <c r="W136" s="21" t="s">
        <v>68</v>
      </c>
      <c r="X136" s="21" t="s">
        <v>121</v>
      </c>
      <c r="Y136" s="26">
        <v>3422121</v>
      </c>
      <c r="Z136" s="27" t="s">
        <v>957</v>
      </c>
      <c r="AA136" s="13" t="s">
        <v>67</v>
      </c>
      <c r="AB136" s="13"/>
      <c r="AC136" s="163"/>
      <c r="AD136" s="21"/>
      <c r="AE136" s="21"/>
      <c r="AF136" s="21"/>
      <c r="AG136" s="21"/>
      <c r="AH136" s="21"/>
    </row>
    <row r="137" spans="1:34" ht="24.95" customHeight="1" x14ac:dyDescent="0.25">
      <c r="A137" s="26">
        <v>86101700</v>
      </c>
      <c r="B137" s="36" t="s">
        <v>58</v>
      </c>
      <c r="C137" s="36" t="s">
        <v>198</v>
      </c>
      <c r="D137" s="36" t="s">
        <v>60</v>
      </c>
      <c r="E137" s="21" t="s">
        <v>198</v>
      </c>
      <c r="F137" s="21" t="s">
        <v>201</v>
      </c>
      <c r="G137" s="22">
        <v>3</v>
      </c>
      <c r="H137" s="22">
        <v>3</v>
      </c>
      <c r="I137" s="22">
        <v>9</v>
      </c>
      <c r="J137" s="22">
        <v>0</v>
      </c>
      <c r="K137" s="21" t="s">
        <v>200</v>
      </c>
      <c r="L137" s="21" t="s">
        <v>3</v>
      </c>
      <c r="M137" s="23">
        <v>9000000</v>
      </c>
      <c r="N137" s="23"/>
      <c r="O137" s="23"/>
      <c r="P137" s="509"/>
      <c r="Q137" s="86"/>
      <c r="R137" s="45">
        <v>9000000</v>
      </c>
      <c r="S137" s="86" t="s">
        <v>67</v>
      </c>
      <c r="T137" s="21" t="s">
        <v>66</v>
      </c>
      <c r="U137" s="23">
        <v>0</v>
      </c>
      <c r="V137" s="21" t="s">
        <v>67</v>
      </c>
      <c r="W137" s="21" t="s">
        <v>68</v>
      </c>
      <c r="X137" s="21" t="s">
        <v>121</v>
      </c>
      <c r="Y137" s="26">
        <v>3422121</v>
      </c>
      <c r="Z137" s="27" t="s">
        <v>957</v>
      </c>
      <c r="AA137" s="13" t="s">
        <v>67</v>
      </c>
      <c r="AB137" s="13"/>
      <c r="AC137" s="163"/>
      <c r="AD137" s="21"/>
      <c r="AE137" s="21"/>
      <c r="AF137" s="21"/>
      <c r="AG137" s="21"/>
      <c r="AH137" s="21"/>
    </row>
    <row r="138" spans="1:34" ht="24.95" customHeight="1" x14ac:dyDescent="0.25">
      <c r="A138" s="26">
        <v>86101700</v>
      </c>
      <c r="B138" s="36" t="s">
        <v>58</v>
      </c>
      <c r="C138" s="36" t="s">
        <v>198</v>
      </c>
      <c r="D138" s="36" t="s">
        <v>60</v>
      </c>
      <c r="E138" s="21" t="s">
        <v>198</v>
      </c>
      <c r="F138" s="21" t="s">
        <v>202</v>
      </c>
      <c r="G138" s="22">
        <v>3</v>
      </c>
      <c r="H138" s="22">
        <v>3</v>
      </c>
      <c r="I138" s="22">
        <v>9</v>
      </c>
      <c r="J138" s="22">
        <v>0</v>
      </c>
      <c r="K138" s="21" t="s">
        <v>200</v>
      </c>
      <c r="L138" s="21" t="s">
        <v>3</v>
      </c>
      <c r="M138" s="23">
        <v>9000000</v>
      </c>
      <c r="N138" s="23"/>
      <c r="O138" s="23"/>
      <c r="P138" s="509"/>
      <c r="Q138" s="86"/>
      <c r="R138" s="45">
        <v>9000000</v>
      </c>
      <c r="S138" s="86" t="s">
        <v>67</v>
      </c>
      <c r="T138" s="21" t="s">
        <v>66</v>
      </c>
      <c r="U138" s="23">
        <v>0</v>
      </c>
      <c r="V138" s="21" t="s">
        <v>67</v>
      </c>
      <c r="W138" s="21" t="s">
        <v>68</v>
      </c>
      <c r="X138" s="21" t="s">
        <v>121</v>
      </c>
      <c r="Y138" s="26">
        <v>3422121</v>
      </c>
      <c r="Z138" s="27" t="s">
        <v>957</v>
      </c>
      <c r="AA138" s="13" t="s">
        <v>67</v>
      </c>
      <c r="AB138" s="13"/>
      <c r="AC138" s="163"/>
      <c r="AD138" s="21"/>
      <c r="AE138" s="21"/>
      <c r="AF138" s="21"/>
      <c r="AG138" s="21"/>
      <c r="AH138" s="21"/>
    </row>
    <row r="139" spans="1:34" ht="24.95" customHeight="1" x14ac:dyDescent="0.25">
      <c r="A139" s="181">
        <v>93151501</v>
      </c>
      <c r="B139" s="293" t="s">
        <v>58</v>
      </c>
      <c r="C139" s="293" t="s">
        <v>198</v>
      </c>
      <c r="D139" s="293" t="s">
        <v>203</v>
      </c>
      <c r="E139" s="177" t="s">
        <v>198</v>
      </c>
      <c r="F139" s="177" t="s">
        <v>204</v>
      </c>
      <c r="G139" s="183">
        <v>1</v>
      </c>
      <c r="H139" s="183">
        <v>1</v>
      </c>
      <c r="I139" s="183">
        <v>11</v>
      </c>
      <c r="J139" s="183">
        <v>15</v>
      </c>
      <c r="K139" s="177" t="s">
        <v>83</v>
      </c>
      <c r="L139" s="177" t="s">
        <v>3</v>
      </c>
      <c r="M139" s="178">
        <v>71069692</v>
      </c>
      <c r="N139" s="32" t="s">
        <v>887</v>
      </c>
      <c r="O139" s="89" t="s">
        <v>12</v>
      </c>
      <c r="P139" s="510">
        <v>201891000284</v>
      </c>
      <c r="Q139" s="89" t="s">
        <v>950</v>
      </c>
      <c r="R139" s="179">
        <v>71069692</v>
      </c>
      <c r="S139" s="184" t="s">
        <v>67</v>
      </c>
      <c r="T139" s="177" t="s">
        <v>66</v>
      </c>
      <c r="U139" s="178">
        <v>0</v>
      </c>
      <c r="V139" s="177" t="s">
        <v>67</v>
      </c>
      <c r="W139" s="177" t="s">
        <v>68</v>
      </c>
      <c r="X139" s="177" t="s">
        <v>121</v>
      </c>
      <c r="Y139" s="181">
        <v>3422121</v>
      </c>
      <c r="Z139" s="194" t="s">
        <v>957</v>
      </c>
      <c r="AA139" s="185" t="s">
        <v>67</v>
      </c>
      <c r="AB139" s="13"/>
      <c r="AC139" s="163"/>
      <c r="AD139" s="21"/>
      <c r="AE139" s="21"/>
      <c r="AF139" s="21"/>
      <c r="AG139" s="21"/>
      <c r="AH139" s="21"/>
    </row>
    <row r="140" spans="1:34" ht="24.95" customHeight="1" x14ac:dyDescent="0.25">
      <c r="A140" s="101">
        <v>86141501</v>
      </c>
      <c r="B140" s="110" t="s">
        <v>58</v>
      </c>
      <c r="C140" s="110" t="s">
        <v>198</v>
      </c>
      <c r="D140" s="110" t="s">
        <v>203</v>
      </c>
      <c r="E140" s="87" t="s">
        <v>435</v>
      </c>
      <c r="F140" s="87" t="s">
        <v>436</v>
      </c>
      <c r="G140" s="88">
        <v>1</v>
      </c>
      <c r="H140" s="88">
        <v>1</v>
      </c>
      <c r="I140" s="88">
        <v>10</v>
      </c>
      <c r="J140" s="88">
        <v>15</v>
      </c>
      <c r="K140" s="87" t="s">
        <v>83</v>
      </c>
      <c r="L140" s="87" t="s">
        <v>3</v>
      </c>
      <c r="M140" s="32">
        <v>81112500</v>
      </c>
      <c r="N140" s="32" t="s">
        <v>887</v>
      </c>
      <c r="O140" s="89" t="s">
        <v>12</v>
      </c>
      <c r="P140" s="510">
        <v>201891000284</v>
      </c>
      <c r="Q140" s="89" t="s">
        <v>950</v>
      </c>
      <c r="R140" s="32">
        <v>84975000</v>
      </c>
      <c r="S140" s="89" t="s">
        <v>197</v>
      </c>
      <c r="T140" s="87" t="s">
        <v>66</v>
      </c>
      <c r="U140" s="32">
        <v>0</v>
      </c>
      <c r="V140" s="87" t="s">
        <v>67</v>
      </c>
      <c r="W140" s="87" t="s">
        <v>68</v>
      </c>
      <c r="X140" s="87" t="s">
        <v>121</v>
      </c>
      <c r="Y140" s="101">
        <v>3422121</v>
      </c>
      <c r="Z140" s="90" t="s">
        <v>957</v>
      </c>
      <c r="AA140" s="117" t="s">
        <v>67</v>
      </c>
      <c r="AB140" s="117"/>
      <c r="AC140" s="162"/>
      <c r="AD140" s="87"/>
      <c r="AE140" s="87"/>
      <c r="AF140" s="87"/>
      <c r="AG140" s="87"/>
      <c r="AH140" s="87"/>
    </row>
    <row r="141" spans="1:34" ht="24.95" customHeight="1" x14ac:dyDescent="0.25">
      <c r="A141" s="101">
        <v>86101710</v>
      </c>
      <c r="B141" s="110" t="s">
        <v>58</v>
      </c>
      <c r="C141" s="110" t="s">
        <v>198</v>
      </c>
      <c r="D141" s="110" t="s">
        <v>60</v>
      </c>
      <c r="E141" s="87" t="s">
        <v>438</v>
      </c>
      <c r="F141" s="87" t="s">
        <v>439</v>
      </c>
      <c r="G141" s="88">
        <v>1</v>
      </c>
      <c r="H141" s="88">
        <v>1</v>
      </c>
      <c r="I141" s="88">
        <v>9</v>
      </c>
      <c r="J141" s="88">
        <v>15</v>
      </c>
      <c r="K141" s="87" t="s">
        <v>83</v>
      </c>
      <c r="L141" s="87" t="s">
        <v>3</v>
      </c>
      <c r="M141" s="32">
        <v>20254950</v>
      </c>
      <c r="N141" s="32"/>
      <c r="O141" s="32"/>
      <c r="P141" s="510"/>
      <c r="Q141" s="89"/>
      <c r="R141" s="32">
        <v>21321000</v>
      </c>
      <c r="S141" s="89" t="s">
        <v>440</v>
      </c>
      <c r="T141" s="87" t="s">
        <v>66</v>
      </c>
      <c r="U141" s="32">
        <v>0</v>
      </c>
      <c r="V141" s="87" t="s">
        <v>67</v>
      </c>
      <c r="W141" s="87" t="s">
        <v>68</v>
      </c>
      <c r="X141" s="87" t="s">
        <v>121</v>
      </c>
      <c r="Y141" s="101">
        <v>3422121</v>
      </c>
      <c r="Z141" s="90" t="s">
        <v>957</v>
      </c>
      <c r="AA141" s="117" t="s">
        <v>67</v>
      </c>
      <c r="AB141" s="117"/>
      <c r="AC141" s="162"/>
      <c r="AD141" s="87"/>
      <c r="AE141" s="87"/>
      <c r="AF141" s="87"/>
      <c r="AG141" s="87"/>
      <c r="AH141" s="87"/>
    </row>
    <row r="142" spans="1:34" ht="24.95" customHeight="1" x14ac:dyDescent="0.25">
      <c r="A142" s="240">
        <v>0</v>
      </c>
      <c r="B142" s="305" t="s">
        <v>58</v>
      </c>
      <c r="C142" s="305" t="s">
        <v>198</v>
      </c>
      <c r="D142" s="305" t="s">
        <v>60</v>
      </c>
      <c r="E142" s="241" t="s">
        <v>207</v>
      </c>
      <c r="F142" s="241" t="s">
        <v>208</v>
      </c>
      <c r="G142" s="242">
        <v>4</v>
      </c>
      <c r="H142" s="242">
        <v>4</v>
      </c>
      <c r="I142" s="242">
        <v>9</v>
      </c>
      <c r="J142" s="242">
        <v>0</v>
      </c>
      <c r="K142" s="241" t="s">
        <v>83</v>
      </c>
      <c r="L142" s="241" t="s">
        <v>3</v>
      </c>
      <c r="M142" s="251">
        <f>44000000+88000000</f>
        <v>132000000</v>
      </c>
      <c r="N142" s="251" t="s">
        <v>856</v>
      </c>
      <c r="O142" s="516" t="s">
        <v>4</v>
      </c>
      <c r="P142" s="534">
        <v>201891000290</v>
      </c>
      <c r="Q142" s="516" t="s">
        <v>949</v>
      </c>
      <c r="R142" s="244">
        <v>88000000</v>
      </c>
      <c r="S142" s="245" t="s">
        <v>67</v>
      </c>
      <c r="T142" s="241" t="s">
        <v>210</v>
      </c>
      <c r="U142" s="243">
        <v>17600000</v>
      </c>
      <c r="V142" s="241" t="s">
        <v>67</v>
      </c>
      <c r="W142" s="241" t="s">
        <v>68</v>
      </c>
      <c r="X142" s="241" t="s">
        <v>121</v>
      </c>
      <c r="Y142" s="240">
        <v>3422121</v>
      </c>
      <c r="Z142" s="252" t="s">
        <v>957</v>
      </c>
      <c r="AA142" s="247" t="s">
        <v>67</v>
      </c>
      <c r="AB142" s="13"/>
      <c r="AC142" s="163"/>
      <c r="AD142" s="21"/>
      <c r="AE142" s="21"/>
      <c r="AF142" s="21"/>
      <c r="AG142" s="21"/>
      <c r="AH142" s="21"/>
    </row>
    <row r="143" spans="1:34" ht="24.95" customHeight="1" x14ac:dyDescent="0.25">
      <c r="A143" s="101">
        <v>86141501</v>
      </c>
      <c r="B143" s="110" t="s">
        <v>58</v>
      </c>
      <c r="C143" s="110" t="s">
        <v>198</v>
      </c>
      <c r="D143" s="110" t="s">
        <v>60</v>
      </c>
      <c r="E143" s="87" t="s">
        <v>198</v>
      </c>
      <c r="F143" s="87" t="s">
        <v>437</v>
      </c>
      <c r="G143" s="88">
        <v>1</v>
      </c>
      <c r="H143" s="88">
        <v>1</v>
      </c>
      <c r="I143" s="88">
        <v>10</v>
      </c>
      <c r="J143" s="88">
        <v>15</v>
      </c>
      <c r="K143" s="87" t="s">
        <v>83</v>
      </c>
      <c r="L143" s="87" t="s">
        <v>3</v>
      </c>
      <c r="M143" s="32">
        <v>29772712</v>
      </c>
      <c r="N143" s="32"/>
      <c r="O143" s="32"/>
      <c r="P143" s="510"/>
      <c r="Q143" s="89"/>
      <c r="R143" s="32">
        <v>31190460</v>
      </c>
      <c r="S143" s="89" t="s">
        <v>197</v>
      </c>
      <c r="T143" s="87" t="s">
        <v>66</v>
      </c>
      <c r="U143" s="32">
        <v>0</v>
      </c>
      <c r="V143" s="87" t="s">
        <v>67</v>
      </c>
      <c r="W143" s="87" t="s">
        <v>68</v>
      </c>
      <c r="X143" s="87" t="s">
        <v>121</v>
      </c>
      <c r="Y143" s="101">
        <v>3422121</v>
      </c>
      <c r="Z143" s="90" t="s">
        <v>957</v>
      </c>
      <c r="AA143" s="117" t="s">
        <v>67</v>
      </c>
      <c r="AB143" s="117"/>
      <c r="AC143" s="162"/>
      <c r="AD143" s="87"/>
      <c r="AE143" s="87"/>
      <c r="AF143" s="87"/>
      <c r="AG143" s="87"/>
      <c r="AH143" s="87"/>
    </row>
    <row r="144" spans="1:34" ht="24.95" customHeight="1" x14ac:dyDescent="0.25">
      <c r="A144" s="216">
        <v>0</v>
      </c>
      <c r="B144" s="292" t="s">
        <v>58</v>
      </c>
      <c r="C144" s="292" t="s">
        <v>198</v>
      </c>
      <c r="D144" s="292" t="s">
        <v>60</v>
      </c>
      <c r="E144" s="214" t="s">
        <v>198</v>
      </c>
      <c r="F144" s="214" t="s">
        <v>479</v>
      </c>
      <c r="G144" s="237">
        <v>2</v>
      </c>
      <c r="H144" s="237">
        <v>2</v>
      </c>
      <c r="I144" s="237">
        <v>1</v>
      </c>
      <c r="J144" s="237">
        <v>0</v>
      </c>
      <c r="K144" s="214" t="s">
        <v>83</v>
      </c>
      <c r="L144" s="214" t="s">
        <v>10</v>
      </c>
      <c r="M144" s="215">
        <v>22000000</v>
      </c>
      <c r="N144" s="220" t="s">
        <v>877</v>
      </c>
      <c r="O144" s="220" t="s">
        <v>5</v>
      </c>
      <c r="P144" s="513">
        <v>201891000290</v>
      </c>
      <c r="Q144" s="220" t="s">
        <v>949</v>
      </c>
      <c r="R144" s="219">
        <v>22000000</v>
      </c>
      <c r="S144" s="220" t="s">
        <v>67</v>
      </c>
      <c r="T144" s="214" t="s">
        <v>66</v>
      </c>
      <c r="U144" s="215">
        <v>0</v>
      </c>
      <c r="V144" s="214" t="s">
        <v>67</v>
      </c>
      <c r="W144" s="214" t="s">
        <v>68</v>
      </c>
      <c r="X144" s="214" t="s">
        <v>121</v>
      </c>
      <c r="Y144" s="216">
        <v>3422121</v>
      </c>
      <c r="Z144" s="253" t="s">
        <v>957</v>
      </c>
      <c r="AA144" s="229" t="s">
        <v>67</v>
      </c>
      <c r="AB144" s="13"/>
      <c r="AC144" s="163"/>
      <c r="AD144" s="21"/>
      <c r="AE144" s="21"/>
      <c r="AF144" s="21"/>
      <c r="AG144" s="21"/>
      <c r="AH144" s="21"/>
    </row>
    <row r="145" spans="1:34" ht="24.95" customHeight="1" x14ac:dyDescent="0.25">
      <c r="A145" s="181">
        <v>0</v>
      </c>
      <c r="B145" s="293" t="s">
        <v>58</v>
      </c>
      <c r="C145" s="293" t="s">
        <v>198</v>
      </c>
      <c r="D145" s="293" t="s">
        <v>60</v>
      </c>
      <c r="E145" s="177" t="s">
        <v>198</v>
      </c>
      <c r="F145" s="177" t="s">
        <v>480</v>
      </c>
      <c r="G145" s="183">
        <v>2</v>
      </c>
      <c r="H145" s="183">
        <v>2</v>
      </c>
      <c r="I145" s="183">
        <v>1</v>
      </c>
      <c r="J145" s="183">
        <v>0</v>
      </c>
      <c r="K145" s="177" t="s">
        <v>83</v>
      </c>
      <c r="L145" s="177" t="s">
        <v>10</v>
      </c>
      <c r="M145" s="178">
        <v>4000000</v>
      </c>
      <c r="N145" s="220" t="s">
        <v>877</v>
      </c>
      <c r="O145" s="220" t="s">
        <v>5</v>
      </c>
      <c r="P145" s="513">
        <v>201891000290</v>
      </c>
      <c r="Q145" s="220" t="s">
        <v>949</v>
      </c>
      <c r="R145" s="179">
        <v>4000000</v>
      </c>
      <c r="S145" s="184" t="s">
        <v>67</v>
      </c>
      <c r="T145" s="177" t="s">
        <v>66</v>
      </c>
      <c r="U145" s="178">
        <v>0</v>
      </c>
      <c r="V145" s="177" t="s">
        <v>67</v>
      </c>
      <c r="W145" s="177" t="s">
        <v>68</v>
      </c>
      <c r="X145" s="177" t="s">
        <v>121</v>
      </c>
      <c r="Y145" s="181">
        <v>3422121</v>
      </c>
      <c r="Z145" s="194" t="s">
        <v>957</v>
      </c>
      <c r="AA145" s="185" t="s">
        <v>67</v>
      </c>
      <c r="AB145" s="13"/>
      <c r="AC145" s="163"/>
      <c r="AD145" s="21"/>
      <c r="AE145" s="21"/>
      <c r="AF145" s="21"/>
      <c r="AG145" s="21"/>
      <c r="AH145" s="21"/>
    </row>
    <row r="146" spans="1:34" ht="24.95" customHeight="1" x14ac:dyDescent="0.25">
      <c r="A146" s="101">
        <v>80111621</v>
      </c>
      <c r="B146" s="110" t="s">
        <v>58</v>
      </c>
      <c r="C146" s="110" t="s">
        <v>198</v>
      </c>
      <c r="D146" s="110" t="s">
        <v>60</v>
      </c>
      <c r="E146" s="87" t="s">
        <v>198</v>
      </c>
      <c r="F146" s="87" t="s">
        <v>441</v>
      </c>
      <c r="G146" s="88">
        <v>2</v>
      </c>
      <c r="H146" s="88">
        <v>2</v>
      </c>
      <c r="I146" s="88">
        <v>9</v>
      </c>
      <c r="J146" s="88">
        <v>15</v>
      </c>
      <c r="K146" s="87" t="s">
        <v>83</v>
      </c>
      <c r="L146" s="87" t="s">
        <v>3</v>
      </c>
      <c r="M146" s="32">
        <v>13632821</v>
      </c>
      <c r="N146" s="32"/>
      <c r="O146" s="32"/>
      <c r="P146" s="510"/>
      <c r="Q146" s="89"/>
      <c r="R146" s="32">
        <v>14350338</v>
      </c>
      <c r="S146" s="89" t="s">
        <v>440</v>
      </c>
      <c r="T146" s="87" t="s">
        <v>66</v>
      </c>
      <c r="U146" s="32">
        <v>0</v>
      </c>
      <c r="V146" s="87" t="s">
        <v>67</v>
      </c>
      <c r="W146" s="87" t="s">
        <v>68</v>
      </c>
      <c r="X146" s="87" t="s">
        <v>121</v>
      </c>
      <c r="Y146" s="101">
        <v>3422121</v>
      </c>
      <c r="Z146" s="90" t="s">
        <v>957</v>
      </c>
      <c r="AA146" s="117" t="s">
        <v>67</v>
      </c>
      <c r="AB146" s="117"/>
      <c r="AC146" s="162"/>
      <c r="AD146" s="87"/>
      <c r="AE146" s="87"/>
      <c r="AF146" s="87"/>
      <c r="AG146" s="87"/>
      <c r="AH146" s="87"/>
    </row>
    <row r="147" spans="1:34" ht="24.95" customHeight="1" x14ac:dyDescent="0.25">
      <c r="A147" s="101">
        <v>80111621</v>
      </c>
      <c r="B147" s="110" t="s">
        <v>58</v>
      </c>
      <c r="C147" s="110" t="s">
        <v>198</v>
      </c>
      <c r="D147" s="110" t="s">
        <v>60</v>
      </c>
      <c r="E147" s="87" t="s">
        <v>198</v>
      </c>
      <c r="F147" s="87" t="s">
        <v>442</v>
      </c>
      <c r="G147" s="88">
        <v>1</v>
      </c>
      <c r="H147" s="88">
        <v>1</v>
      </c>
      <c r="I147" s="88">
        <v>9</v>
      </c>
      <c r="J147" s="88">
        <v>15</v>
      </c>
      <c r="K147" s="87" t="s">
        <v>83</v>
      </c>
      <c r="L147" s="87" t="s">
        <v>3</v>
      </c>
      <c r="M147" s="32">
        <v>6699334</v>
      </c>
      <c r="N147" s="32"/>
      <c r="O147" s="32"/>
      <c r="P147" s="510"/>
      <c r="Q147" s="89"/>
      <c r="R147" s="32">
        <v>7051931</v>
      </c>
      <c r="S147" s="89" t="s">
        <v>440</v>
      </c>
      <c r="T147" s="87" t="s">
        <v>66</v>
      </c>
      <c r="U147" s="32">
        <v>0</v>
      </c>
      <c r="V147" s="87" t="s">
        <v>67</v>
      </c>
      <c r="W147" s="87" t="s">
        <v>68</v>
      </c>
      <c r="X147" s="87" t="s">
        <v>121</v>
      </c>
      <c r="Y147" s="101">
        <v>3422121</v>
      </c>
      <c r="Z147" s="90" t="s">
        <v>957</v>
      </c>
      <c r="AA147" s="117" t="s">
        <v>67</v>
      </c>
      <c r="AB147" s="117"/>
      <c r="AC147" s="162"/>
      <c r="AD147" s="87"/>
      <c r="AE147" s="87"/>
      <c r="AF147" s="87"/>
      <c r="AG147" s="87"/>
      <c r="AH147" s="87"/>
    </row>
    <row r="148" spans="1:34" ht="24.95" customHeight="1" x14ac:dyDescent="0.25">
      <c r="A148" s="216">
        <v>78141500</v>
      </c>
      <c r="B148" s="292" t="s">
        <v>58</v>
      </c>
      <c r="C148" s="292" t="s">
        <v>198</v>
      </c>
      <c r="D148" s="292" t="s">
        <v>60</v>
      </c>
      <c r="E148" s="214" t="s">
        <v>198</v>
      </c>
      <c r="F148" s="214" t="s">
        <v>217</v>
      </c>
      <c r="G148" s="237">
        <v>5</v>
      </c>
      <c r="H148" s="237">
        <v>5</v>
      </c>
      <c r="I148" s="237">
        <v>5</v>
      </c>
      <c r="J148" s="237">
        <v>0</v>
      </c>
      <c r="K148" s="214" t="s">
        <v>83</v>
      </c>
      <c r="L148" s="214" t="s">
        <v>10</v>
      </c>
      <c r="M148" s="215">
        <v>8000000</v>
      </c>
      <c r="N148" s="220" t="s">
        <v>877</v>
      </c>
      <c r="O148" s="220" t="s">
        <v>5</v>
      </c>
      <c r="P148" s="513">
        <v>201891000290</v>
      </c>
      <c r="Q148" s="220" t="s">
        <v>949</v>
      </c>
      <c r="R148" s="219">
        <v>8000000</v>
      </c>
      <c r="S148" s="220" t="s">
        <v>67</v>
      </c>
      <c r="T148" s="214" t="s">
        <v>66</v>
      </c>
      <c r="U148" s="215">
        <v>0</v>
      </c>
      <c r="V148" s="214" t="s">
        <v>67</v>
      </c>
      <c r="W148" s="214" t="s">
        <v>68</v>
      </c>
      <c r="X148" s="214" t="s">
        <v>121</v>
      </c>
      <c r="Y148" s="216">
        <v>3422121</v>
      </c>
      <c r="Z148" s="253" t="s">
        <v>957</v>
      </c>
      <c r="AA148" s="229" t="s">
        <v>67</v>
      </c>
      <c r="AB148" s="13"/>
      <c r="AC148" s="163"/>
      <c r="AD148" s="21"/>
      <c r="AE148" s="21"/>
      <c r="AF148" s="21"/>
      <c r="AG148" s="21"/>
      <c r="AH148" s="21"/>
    </row>
    <row r="149" spans="1:34" ht="24.95" customHeight="1" x14ac:dyDescent="0.25">
      <c r="A149" s="181" t="s">
        <v>452</v>
      </c>
      <c r="B149" s="293" t="s">
        <v>58</v>
      </c>
      <c r="C149" s="293" t="s">
        <v>198</v>
      </c>
      <c r="D149" s="293" t="s">
        <v>60</v>
      </c>
      <c r="E149" s="177" t="s">
        <v>198</v>
      </c>
      <c r="F149" s="177" t="s">
        <v>1077</v>
      </c>
      <c r="G149" s="183">
        <v>5</v>
      </c>
      <c r="H149" s="183">
        <v>5</v>
      </c>
      <c r="I149" s="183">
        <v>5</v>
      </c>
      <c r="J149" s="183">
        <v>0</v>
      </c>
      <c r="K149" s="177" t="s">
        <v>83</v>
      </c>
      <c r="L149" s="177" t="s">
        <v>3</v>
      </c>
      <c r="M149" s="178">
        <v>8000000</v>
      </c>
      <c r="N149" s="178"/>
      <c r="O149" s="178"/>
      <c r="P149" s="533"/>
      <c r="Q149" s="184"/>
      <c r="R149" s="179">
        <v>8000000</v>
      </c>
      <c r="S149" s="184" t="s">
        <v>67</v>
      </c>
      <c r="T149" s="177" t="s">
        <v>66</v>
      </c>
      <c r="U149" s="178">
        <v>0</v>
      </c>
      <c r="V149" s="177" t="s">
        <v>67</v>
      </c>
      <c r="W149" s="177" t="s">
        <v>68</v>
      </c>
      <c r="X149" s="177" t="s">
        <v>121</v>
      </c>
      <c r="Y149" s="181">
        <v>3422121</v>
      </c>
      <c r="Z149" s="194" t="s">
        <v>957</v>
      </c>
      <c r="AA149" s="185" t="s">
        <v>67</v>
      </c>
      <c r="AB149" s="13"/>
      <c r="AC149" s="163"/>
      <c r="AD149" s="21"/>
      <c r="AE149" s="21"/>
      <c r="AF149" s="21"/>
      <c r="AG149" s="21"/>
      <c r="AH149" s="21"/>
    </row>
    <row r="150" spans="1:34" ht="24.95" customHeight="1" x14ac:dyDescent="0.25">
      <c r="A150" s="101">
        <v>80111621</v>
      </c>
      <c r="B150" s="110" t="s">
        <v>58</v>
      </c>
      <c r="C150" s="110" t="s">
        <v>198</v>
      </c>
      <c r="D150" s="110" t="s">
        <v>60</v>
      </c>
      <c r="E150" s="87" t="s">
        <v>198</v>
      </c>
      <c r="F150" s="87" t="s">
        <v>443</v>
      </c>
      <c r="G150" s="88">
        <v>2</v>
      </c>
      <c r="H150" s="88">
        <v>2</v>
      </c>
      <c r="I150" s="88">
        <v>9</v>
      </c>
      <c r="J150" s="88">
        <v>15</v>
      </c>
      <c r="K150" s="87" t="s">
        <v>83</v>
      </c>
      <c r="L150" s="87" t="s">
        <v>3</v>
      </c>
      <c r="M150" s="32">
        <v>19000000</v>
      </c>
      <c r="N150" s="32"/>
      <c r="O150" s="32"/>
      <c r="P150" s="510"/>
      <c r="Q150" s="89"/>
      <c r="R150" s="32">
        <v>20000000</v>
      </c>
      <c r="S150" s="89" t="s">
        <v>440</v>
      </c>
      <c r="T150" s="87" t="s">
        <v>66</v>
      </c>
      <c r="U150" s="32">
        <v>0</v>
      </c>
      <c r="V150" s="87" t="s">
        <v>67</v>
      </c>
      <c r="W150" s="87" t="s">
        <v>68</v>
      </c>
      <c r="X150" s="87" t="s">
        <v>121</v>
      </c>
      <c r="Y150" s="101">
        <v>3422121</v>
      </c>
      <c r="Z150" s="90" t="s">
        <v>957</v>
      </c>
      <c r="AA150" s="117" t="s">
        <v>67</v>
      </c>
      <c r="AB150" s="117"/>
      <c r="AC150" s="162"/>
      <c r="AD150" s="87"/>
      <c r="AE150" s="87"/>
      <c r="AF150" s="87"/>
      <c r="AG150" s="87"/>
      <c r="AH150" s="87"/>
    </row>
    <row r="151" spans="1:34" ht="24.95" customHeight="1" x14ac:dyDescent="0.25">
      <c r="A151" s="216">
        <v>86101700</v>
      </c>
      <c r="B151" s="292" t="s">
        <v>58</v>
      </c>
      <c r="C151" s="292" t="s">
        <v>198</v>
      </c>
      <c r="D151" s="292" t="s">
        <v>60</v>
      </c>
      <c r="E151" s="214" t="s">
        <v>198</v>
      </c>
      <c r="F151" s="214" t="s">
        <v>218</v>
      </c>
      <c r="G151" s="237">
        <v>4</v>
      </c>
      <c r="H151" s="237">
        <v>4</v>
      </c>
      <c r="I151" s="237">
        <v>1</v>
      </c>
      <c r="J151" s="237">
        <v>0</v>
      </c>
      <c r="K151" s="214" t="s">
        <v>83</v>
      </c>
      <c r="L151" s="214" t="s">
        <v>3</v>
      </c>
      <c r="M151" s="215">
        <v>25000000</v>
      </c>
      <c r="N151" s="215"/>
      <c r="O151" s="215"/>
      <c r="P151" s="535"/>
      <c r="Q151" s="220"/>
      <c r="R151" s="215">
        <v>22000000</v>
      </c>
      <c r="S151" s="220" t="s">
        <v>67</v>
      </c>
      <c r="T151" s="214" t="s">
        <v>66</v>
      </c>
      <c r="U151" s="215">
        <v>0</v>
      </c>
      <c r="V151" s="214" t="s">
        <v>67</v>
      </c>
      <c r="W151" s="214" t="s">
        <v>68</v>
      </c>
      <c r="X151" s="214" t="s">
        <v>121</v>
      </c>
      <c r="Y151" s="216">
        <v>3422121</v>
      </c>
      <c r="Z151" s="254" t="s">
        <v>957</v>
      </c>
      <c r="AA151" s="229" t="s">
        <v>67</v>
      </c>
      <c r="AB151" s="13"/>
      <c r="AC151" s="163"/>
      <c r="AD151" s="21"/>
      <c r="AE151" s="21"/>
      <c r="AF151" s="21"/>
      <c r="AG151" s="21"/>
      <c r="AH151" s="21"/>
    </row>
    <row r="152" spans="1:34" ht="24.95" customHeight="1" x14ac:dyDescent="0.25">
      <c r="A152" s="155">
        <v>86101700</v>
      </c>
      <c r="B152" s="297" t="s">
        <v>58</v>
      </c>
      <c r="C152" s="297" t="s">
        <v>198</v>
      </c>
      <c r="D152" s="297" t="s">
        <v>60</v>
      </c>
      <c r="E152" s="91" t="s">
        <v>198</v>
      </c>
      <c r="F152" s="91" t="s">
        <v>402</v>
      </c>
      <c r="G152" s="92">
        <v>7</v>
      </c>
      <c r="H152" s="92">
        <v>7</v>
      </c>
      <c r="I152" s="92">
        <v>1</v>
      </c>
      <c r="J152" s="92">
        <v>0</v>
      </c>
      <c r="K152" s="91" t="s">
        <v>83</v>
      </c>
      <c r="L152" s="91" t="s">
        <v>3</v>
      </c>
      <c r="M152" s="93">
        <v>25000000</v>
      </c>
      <c r="N152" s="93"/>
      <c r="O152" s="93"/>
      <c r="P152" s="536"/>
      <c r="Q152" s="94"/>
      <c r="R152" s="93">
        <v>25000000</v>
      </c>
      <c r="S152" s="94" t="s">
        <v>403</v>
      </c>
      <c r="T152" s="91" t="s">
        <v>66</v>
      </c>
      <c r="U152" s="93">
        <v>0</v>
      </c>
      <c r="V152" s="91" t="s">
        <v>67</v>
      </c>
      <c r="W152" s="91" t="s">
        <v>68</v>
      </c>
      <c r="X152" s="91" t="s">
        <v>121</v>
      </c>
      <c r="Y152" s="155">
        <v>3422121</v>
      </c>
      <c r="Z152" s="95" t="s">
        <v>957</v>
      </c>
      <c r="AA152" s="13" t="s">
        <v>67</v>
      </c>
      <c r="AB152" s="13"/>
      <c r="AC152" s="163"/>
      <c r="AD152" s="21"/>
      <c r="AE152" s="21"/>
      <c r="AF152" s="21"/>
      <c r="AG152" s="21"/>
      <c r="AH152" s="21"/>
    </row>
    <row r="153" spans="1:34" ht="24.95" customHeight="1" x14ac:dyDescent="0.25">
      <c r="A153" s="26">
        <v>86101700</v>
      </c>
      <c r="B153" s="36" t="s">
        <v>58</v>
      </c>
      <c r="C153" s="36" t="s">
        <v>198</v>
      </c>
      <c r="D153" s="36" t="s">
        <v>60</v>
      </c>
      <c r="E153" s="21" t="s">
        <v>198</v>
      </c>
      <c r="F153" s="21" t="s">
        <v>219</v>
      </c>
      <c r="G153" s="22">
        <v>1</v>
      </c>
      <c r="H153" s="22">
        <v>1</v>
      </c>
      <c r="I153" s="22">
        <v>5</v>
      </c>
      <c r="J153" s="22">
        <v>0</v>
      </c>
      <c r="K153" s="21" t="s">
        <v>83</v>
      </c>
      <c r="L153" s="21" t="s">
        <v>3</v>
      </c>
      <c r="M153" s="23">
        <v>25000000</v>
      </c>
      <c r="N153" s="23"/>
      <c r="O153" s="23"/>
      <c r="P153" s="509"/>
      <c r="Q153" s="86"/>
      <c r="R153" s="45">
        <v>25000000</v>
      </c>
      <c r="S153" s="86" t="s">
        <v>67</v>
      </c>
      <c r="T153" s="21" t="s">
        <v>66</v>
      </c>
      <c r="U153" s="23">
        <v>0</v>
      </c>
      <c r="V153" s="21" t="s">
        <v>67</v>
      </c>
      <c r="W153" s="21" t="s">
        <v>68</v>
      </c>
      <c r="X153" s="21" t="s">
        <v>121</v>
      </c>
      <c r="Y153" s="26">
        <v>3422121</v>
      </c>
      <c r="Z153" s="27" t="s">
        <v>957</v>
      </c>
      <c r="AA153" s="13" t="s">
        <v>67</v>
      </c>
      <c r="AB153" s="13"/>
      <c r="AC153" s="163"/>
      <c r="AD153" s="21"/>
      <c r="AE153" s="21"/>
      <c r="AF153" s="21"/>
      <c r="AG153" s="21"/>
      <c r="AH153" s="21"/>
    </row>
    <row r="154" spans="1:34" ht="24.95" customHeight="1" x14ac:dyDescent="0.25">
      <c r="A154" s="102">
        <v>86101700</v>
      </c>
      <c r="B154" s="307" t="s">
        <v>58</v>
      </c>
      <c r="C154" s="307" t="s">
        <v>198</v>
      </c>
      <c r="D154" s="307" t="s">
        <v>60</v>
      </c>
      <c r="E154" s="96" t="s">
        <v>198</v>
      </c>
      <c r="F154" s="96" t="s">
        <v>1078</v>
      </c>
      <c r="G154" s="97">
        <v>1</v>
      </c>
      <c r="H154" s="97">
        <v>1</v>
      </c>
      <c r="I154" s="97">
        <v>10</v>
      </c>
      <c r="J154" s="97">
        <v>0</v>
      </c>
      <c r="K154" s="96" t="s">
        <v>83</v>
      </c>
      <c r="L154" s="115" t="s">
        <v>67</v>
      </c>
      <c r="M154" s="98">
        <f>20000000-20000000</f>
        <v>0</v>
      </c>
      <c r="N154" s="98"/>
      <c r="O154" s="98"/>
      <c r="P154" s="98"/>
      <c r="Q154" s="99"/>
      <c r="R154" s="98">
        <v>20000000</v>
      </c>
      <c r="S154" s="99" t="s">
        <v>1079</v>
      </c>
      <c r="T154" s="96" t="s">
        <v>66</v>
      </c>
      <c r="U154" s="98">
        <v>0</v>
      </c>
      <c r="V154" s="96" t="s">
        <v>67</v>
      </c>
      <c r="W154" s="96" t="s">
        <v>68</v>
      </c>
      <c r="X154" s="96" t="s">
        <v>121</v>
      </c>
      <c r="Y154" s="102">
        <v>3422121</v>
      </c>
      <c r="Z154" s="100" t="s">
        <v>957</v>
      </c>
      <c r="AA154" s="13" t="s">
        <v>67</v>
      </c>
      <c r="AB154" s="13"/>
      <c r="AC154" s="163"/>
      <c r="AD154" s="21"/>
      <c r="AE154" s="21"/>
      <c r="AF154" s="21"/>
      <c r="AG154" s="21"/>
      <c r="AH154" s="21"/>
    </row>
    <row r="155" spans="1:34" ht="24.95" customHeight="1" x14ac:dyDescent="0.25">
      <c r="A155" s="188">
        <v>86101700</v>
      </c>
      <c r="B155" s="306" t="s">
        <v>58</v>
      </c>
      <c r="C155" s="306" t="s">
        <v>198</v>
      </c>
      <c r="D155" s="306" t="s">
        <v>60</v>
      </c>
      <c r="E155" s="189" t="s">
        <v>198</v>
      </c>
      <c r="F155" s="189" t="s">
        <v>1080</v>
      </c>
      <c r="G155" s="190">
        <v>1</v>
      </c>
      <c r="H155" s="190">
        <v>1</v>
      </c>
      <c r="I155" s="190">
        <v>10</v>
      </c>
      <c r="J155" s="190">
        <v>0</v>
      </c>
      <c r="K155" s="189" t="s">
        <v>83</v>
      </c>
      <c r="L155" s="115" t="s">
        <v>67</v>
      </c>
      <c r="M155" s="191">
        <f>20000000-20000000</f>
        <v>0</v>
      </c>
      <c r="N155" s="191"/>
      <c r="O155" s="191"/>
      <c r="P155" s="191"/>
      <c r="Q155" s="192"/>
      <c r="R155" s="191">
        <v>2000000</v>
      </c>
      <c r="S155" s="192" t="s">
        <v>67</v>
      </c>
      <c r="T155" s="189" t="s">
        <v>66</v>
      </c>
      <c r="U155" s="191">
        <v>0</v>
      </c>
      <c r="V155" s="189" t="s">
        <v>67</v>
      </c>
      <c r="W155" s="189" t="s">
        <v>68</v>
      </c>
      <c r="X155" s="189" t="s">
        <v>121</v>
      </c>
      <c r="Y155" s="188">
        <v>3422121</v>
      </c>
      <c r="Z155" s="195" t="s">
        <v>957</v>
      </c>
      <c r="AA155" s="185" t="s">
        <v>67</v>
      </c>
      <c r="AB155" s="13"/>
      <c r="AC155" s="163"/>
      <c r="AD155" s="21"/>
      <c r="AE155" s="21"/>
      <c r="AF155" s="21"/>
      <c r="AG155" s="21"/>
      <c r="AH155" s="21"/>
    </row>
    <row r="156" spans="1:34" ht="24.95" customHeight="1" x14ac:dyDescent="0.25">
      <c r="A156" s="101">
        <v>86101700</v>
      </c>
      <c r="B156" s="110" t="s">
        <v>58</v>
      </c>
      <c r="C156" s="110" t="s">
        <v>198</v>
      </c>
      <c r="D156" s="110" t="s">
        <v>60</v>
      </c>
      <c r="E156" s="87" t="s">
        <v>198</v>
      </c>
      <c r="F156" s="87" t="s">
        <v>445</v>
      </c>
      <c r="G156" s="88">
        <v>1</v>
      </c>
      <c r="H156" s="88">
        <v>1</v>
      </c>
      <c r="I156" s="88">
        <v>9</v>
      </c>
      <c r="J156" s="88">
        <v>15</v>
      </c>
      <c r="K156" s="87" t="s">
        <v>83</v>
      </c>
      <c r="L156" s="87" t="s">
        <v>3</v>
      </c>
      <c r="M156" s="32">
        <v>34247500</v>
      </c>
      <c r="N156" s="32"/>
      <c r="O156" s="32"/>
      <c r="P156" s="510"/>
      <c r="Q156" s="89"/>
      <c r="R156" s="32">
        <v>36050000</v>
      </c>
      <c r="S156" s="89" t="s">
        <v>440</v>
      </c>
      <c r="T156" s="87" t="s">
        <v>66</v>
      </c>
      <c r="U156" s="32">
        <v>0</v>
      </c>
      <c r="V156" s="87" t="s">
        <v>67</v>
      </c>
      <c r="W156" s="87" t="s">
        <v>68</v>
      </c>
      <c r="X156" s="87" t="s">
        <v>121</v>
      </c>
      <c r="Y156" s="101">
        <v>3422121</v>
      </c>
      <c r="Z156" s="90" t="s">
        <v>957</v>
      </c>
      <c r="AA156" s="117" t="s">
        <v>67</v>
      </c>
      <c r="AB156" s="117"/>
      <c r="AC156" s="162"/>
      <c r="AD156" s="87"/>
      <c r="AE156" s="87"/>
      <c r="AF156" s="87"/>
      <c r="AG156" s="87"/>
      <c r="AH156" s="87"/>
    </row>
    <row r="157" spans="1:34" ht="24.95" customHeight="1" x14ac:dyDescent="0.25">
      <c r="A157" s="101">
        <v>82111801</v>
      </c>
      <c r="B157" s="110" t="s">
        <v>58</v>
      </c>
      <c r="C157" s="110" t="s">
        <v>198</v>
      </c>
      <c r="D157" s="110" t="s">
        <v>60</v>
      </c>
      <c r="E157" s="87" t="s">
        <v>198</v>
      </c>
      <c r="F157" s="87" t="s">
        <v>408</v>
      </c>
      <c r="G157" s="88">
        <v>1</v>
      </c>
      <c r="H157" s="88">
        <v>1</v>
      </c>
      <c r="I157" s="88">
        <v>10</v>
      </c>
      <c r="J157" s="88">
        <v>0</v>
      </c>
      <c r="K157" s="87" t="s">
        <v>83</v>
      </c>
      <c r="L157" s="87" t="s">
        <v>3</v>
      </c>
      <c r="M157" s="32">
        <v>23700676</v>
      </c>
      <c r="N157" s="32"/>
      <c r="O157" s="32"/>
      <c r="P157" s="510"/>
      <c r="Q157" s="89"/>
      <c r="R157" s="32">
        <v>28700676</v>
      </c>
      <c r="S157" s="89" t="s">
        <v>407</v>
      </c>
      <c r="T157" s="87" t="s">
        <v>66</v>
      </c>
      <c r="U157" s="32">
        <v>0</v>
      </c>
      <c r="V157" s="87" t="s">
        <v>67</v>
      </c>
      <c r="W157" s="87" t="s">
        <v>68</v>
      </c>
      <c r="X157" s="87" t="s">
        <v>121</v>
      </c>
      <c r="Y157" s="101">
        <v>3422121</v>
      </c>
      <c r="Z157" s="90" t="s">
        <v>957</v>
      </c>
      <c r="AA157" s="117" t="s">
        <v>67</v>
      </c>
      <c r="AB157" s="117"/>
      <c r="AC157" s="162"/>
      <c r="AD157" s="87"/>
      <c r="AE157" s="87"/>
      <c r="AF157" s="87"/>
      <c r="AG157" s="87"/>
      <c r="AH157" s="87"/>
    </row>
    <row r="158" spans="1:34" ht="24.95" customHeight="1" x14ac:dyDescent="0.25">
      <c r="A158" s="216">
        <v>80111621</v>
      </c>
      <c r="B158" s="292" t="s">
        <v>270</v>
      </c>
      <c r="C158" s="292" t="s">
        <v>198</v>
      </c>
      <c r="D158" s="292" t="s">
        <v>60</v>
      </c>
      <c r="E158" s="214" t="s">
        <v>220</v>
      </c>
      <c r="F158" s="214" t="s">
        <v>221</v>
      </c>
      <c r="G158" s="237">
        <v>1</v>
      </c>
      <c r="H158" s="237">
        <v>1</v>
      </c>
      <c r="I158" s="237">
        <v>10</v>
      </c>
      <c r="J158" s="237">
        <v>0</v>
      </c>
      <c r="K158" s="214" t="s">
        <v>83</v>
      </c>
      <c r="L158" s="214" t="s">
        <v>3</v>
      </c>
      <c r="M158" s="215">
        <v>19096200</v>
      </c>
      <c r="N158" s="215" t="s">
        <v>856</v>
      </c>
      <c r="O158" s="220" t="s">
        <v>4</v>
      </c>
      <c r="P158" s="535">
        <v>201891000290</v>
      </c>
      <c r="Q158" s="220"/>
      <c r="R158" s="219">
        <v>19096200</v>
      </c>
      <c r="S158" s="220" t="s">
        <v>67</v>
      </c>
      <c r="T158" s="214" t="s">
        <v>66</v>
      </c>
      <c r="U158" s="215">
        <v>0</v>
      </c>
      <c r="V158" s="214" t="s">
        <v>67</v>
      </c>
      <c r="W158" s="214" t="s">
        <v>68</v>
      </c>
      <c r="X158" s="214" t="s">
        <v>121</v>
      </c>
      <c r="Y158" s="216">
        <v>3422121</v>
      </c>
      <c r="Z158" s="253" t="s">
        <v>957</v>
      </c>
      <c r="AA158" s="229" t="s">
        <v>67</v>
      </c>
      <c r="AB158" s="13"/>
      <c r="AC158" s="163"/>
      <c r="AD158" s="21"/>
      <c r="AE158" s="21"/>
      <c r="AF158" s="21"/>
      <c r="AG158" s="21"/>
      <c r="AH158" s="21"/>
    </row>
    <row r="159" spans="1:34" ht="24.95" customHeight="1" x14ac:dyDescent="0.25">
      <c r="A159" s="26">
        <v>80111621</v>
      </c>
      <c r="B159" s="36" t="s">
        <v>270</v>
      </c>
      <c r="C159" s="36" t="s">
        <v>198</v>
      </c>
      <c r="D159" s="36" t="s">
        <v>60</v>
      </c>
      <c r="E159" s="21" t="s">
        <v>220</v>
      </c>
      <c r="F159" s="21" t="s">
        <v>221</v>
      </c>
      <c r="G159" s="22">
        <v>1</v>
      </c>
      <c r="H159" s="22">
        <v>1</v>
      </c>
      <c r="I159" s="22">
        <v>10</v>
      </c>
      <c r="J159" s="22">
        <v>0</v>
      </c>
      <c r="K159" s="21" t="s">
        <v>83</v>
      </c>
      <c r="L159" s="21" t="s">
        <v>3</v>
      </c>
      <c r="M159" s="23">
        <v>19096200</v>
      </c>
      <c r="N159" s="23" t="s">
        <v>856</v>
      </c>
      <c r="O159" s="86" t="s">
        <v>4</v>
      </c>
      <c r="P159" s="535">
        <v>201891000290</v>
      </c>
      <c r="Q159" s="86"/>
      <c r="R159" s="45">
        <v>19096200</v>
      </c>
      <c r="S159" s="86" t="s">
        <v>67</v>
      </c>
      <c r="T159" s="21" t="s">
        <v>66</v>
      </c>
      <c r="U159" s="23">
        <v>0</v>
      </c>
      <c r="V159" s="21" t="s">
        <v>67</v>
      </c>
      <c r="W159" s="21" t="s">
        <v>68</v>
      </c>
      <c r="X159" s="21" t="s">
        <v>121</v>
      </c>
      <c r="Y159" s="26">
        <v>3422121</v>
      </c>
      <c r="Z159" s="27" t="s">
        <v>957</v>
      </c>
      <c r="AA159" s="13" t="s">
        <v>67</v>
      </c>
      <c r="AB159" s="13"/>
      <c r="AC159" s="163"/>
      <c r="AD159" s="21"/>
      <c r="AE159" s="21"/>
      <c r="AF159" s="21"/>
      <c r="AG159" s="21"/>
      <c r="AH159" s="21"/>
    </row>
    <row r="160" spans="1:34" s="122" customFormat="1" ht="24.95" customHeight="1" x14ac:dyDescent="0.25">
      <c r="A160" s="128">
        <v>86101600</v>
      </c>
      <c r="B160" s="294" t="s">
        <v>58</v>
      </c>
      <c r="C160" s="294" t="s">
        <v>59</v>
      </c>
      <c r="D160" s="294" t="s">
        <v>60</v>
      </c>
      <c r="E160" s="69" t="s">
        <v>61</v>
      </c>
      <c r="F160" s="69" t="s">
        <v>1081</v>
      </c>
      <c r="G160" s="128">
        <v>8</v>
      </c>
      <c r="H160" s="129">
        <v>8</v>
      </c>
      <c r="I160" s="129">
        <v>0</v>
      </c>
      <c r="J160" s="129">
        <v>0</v>
      </c>
      <c r="K160" s="69" t="s">
        <v>63</v>
      </c>
      <c r="L160" s="115" t="s">
        <v>67</v>
      </c>
      <c r="M160" s="119">
        <f>2980800-2980800</f>
        <v>0</v>
      </c>
      <c r="N160" s="119"/>
      <c r="O160" s="119"/>
      <c r="P160" s="119"/>
      <c r="Q160" s="143"/>
      <c r="R160" s="119">
        <v>2980800</v>
      </c>
      <c r="S160" s="143" t="s">
        <v>63</v>
      </c>
      <c r="T160" s="69" t="s">
        <v>66</v>
      </c>
      <c r="U160" s="119">
        <v>0</v>
      </c>
      <c r="V160" s="69" t="s">
        <v>67</v>
      </c>
      <c r="W160" s="69" t="s">
        <v>68</v>
      </c>
      <c r="X160" s="69" t="s">
        <v>69</v>
      </c>
      <c r="Y160" s="128">
        <v>3422121</v>
      </c>
      <c r="Z160" s="130" t="s">
        <v>70</v>
      </c>
      <c r="AA160" s="70" t="s">
        <v>67</v>
      </c>
      <c r="AB160" s="131" t="s">
        <v>1082</v>
      </c>
      <c r="AC160" s="170">
        <v>2980800</v>
      </c>
      <c r="AD160" s="119"/>
      <c r="AE160" s="119"/>
      <c r="AF160" s="119"/>
      <c r="AG160" s="69"/>
      <c r="AH160" s="69"/>
    </row>
    <row r="161" spans="1:34" s="122" customFormat="1" ht="24.95" customHeight="1" x14ac:dyDescent="0.25">
      <c r="A161" s="128">
        <v>86101600</v>
      </c>
      <c r="B161" s="294" t="s">
        <v>58</v>
      </c>
      <c r="C161" s="294" t="s">
        <v>59</v>
      </c>
      <c r="D161" s="294" t="s">
        <v>60</v>
      </c>
      <c r="E161" s="69" t="s">
        <v>61</v>
      </c>
      <c r="F161" s="69" t="s">
        <v>1083</v>
      </c>
      <c r="G161" s="128">
        <v>8</v>
      </c>
      <c r="H161" s="129">
        <v>8</v>
      </c>
      <c r="I161" s="129">
        <v>0</v>
      </c>
      <c r="J161" s="129">
        <v>0</v>
      </c>
      <c r="K161" s="69" t="s">
        <v>63</v>
      </c>
      <c r="L161" s="115" t="s">
        <v>67</v>
      </c>
      <c r="M161" s="119">
        <f>2980800-2980800</f>
        <v>0</v>
      </c>
      <c r="N161" s="119"/>
      <c r="O161" s="119"/>
      <c r="P161" s="119"/>
      <c r="Q161" s="143"/>
      <c r="R161" s="119">
        <v>2980800</v>
      </c>
      <c r="S161" s="143" t="s">
        <v>63</v>
      </c>
      <c r="T161" s="69" t="s">
        <v>66</v>
      </c>
      <c r="U161" s="119">
        <v>0</v>
      </c>
      <c r="V161" s="69" t="s">
        <v>67</v>
      </c>
      <c r="W161" s="69" t="s">
        <v>68</v>
      </c>
      <c r="X161" s="69" t="s">
        <v>69</v>
      </c>
      <c r="Y161" s="128">
        <v>3422121</v>
      </c>
      <c r="Z161" s="130" t="s">
        <v>70</v>
      </c>
      <c r="AA161" s="70" t="s">
        <v>67</v>
      </c>
      <c r="AB161" s="131" t="s">
        <v>1082</v>
      </c>
      <c r="AC161" s="170">
        <v>2980800</v>
      </c>
      <c r="AD161" s="119"/>
      <c r="AE161" s="119"/>
      <c r="AF161" s="119"/>
      <c r="AG161" s="69"/>
      <c r="AH161" s="69"/>
    </row>
    <row r="162" spans="1:34" s="122" customFormat="1" ht="24.95" customHeight="1" x14ac:dyDescent="0.25">
      <c r="A162" s="128">
        <v>86101600</v>
      </c>
      <c r="B162" s="294" t="s">
        <v>58</v>
      </c>
      <c r="C162" s="294" t="s">
        <v>59</v>
      </c>
      <c r="D162" s="294" t="s">
        <v>60</v>
      </c>
      <c r="E162" s="69" t="s">
        <v>61</v>
      </c>
      <c r="F162" s="69" t="s">
        <v>1084</v>
      </c>
      <c r="G162" s="128">
        <v>8</v>
      </c>
      <c r="H162" s="129">
        <v>8</v>
      </c>
      <c r="I162" s="129">
        <v>0</v>
      </c>
      <c r="J162" s="129">
        <v>0</v>
      </c>
      <c r="K162" s="69" t="s">
        <v>63</v>
      </c>
      <c r="L162" s="115" t="s">
        <v>67</v>
      </c>
      <c r="M162" s="119">
        <f>2980800-2980800</f>
        <v>0</v>
      </c>
      <c r="N162" s="119"/>
      <c r="O162" s="119"/>
      <c r="P162" s="119"/>
      <c r="Q162" s="143"/>
      <c r="R162" s="119">
        <v>2980800</v>
      </c>
      <c r="S162" s="143" t="s">
        <v>63</v>
      </c>
      <c r="T162" s="69" t="s">
        <v>66</v>
      </c>
      <c r="U162" s="119">
        <v>0</v>
      </c>
      <c r="V162" s="69" t="s">
        <v>67</v>
      </c>
      <c r="W162" s="69" t="s">
        <v>68</v>
      </c>
      <c r="X162" s="69" t="s">
        <v>69</v>
      </c>
      <c r="Y162" s="128">
        <v>3422121</v>
      </c>
      <c r="Z162" s="130" t="s">
        <v>70</v>
      </c>
      <c r="AA162" s="70" t="s">
        <v>67</v>
      </c>
      <c r="AB162" s="131" t="s">
        <v>1082</v>
      </c>
      <c r="AC162" s="170">
        <v>2980800</v>
      </c>
      <c r="AD162" s="119"/>
      <c r="AE162" s="119"/>
      <c r="AF162" s="119"/>
      <c r="AG162" s="69"/>
      <c r="AH162" s="69"/>
    </row>
    <row r="163" spans="1:34" s="122" customFormat="1" ht="24.95" customHeight="1" x14ac:dyDescent="0.25">
      <c r="A163" s="128">
        <v>86101600</v>
      </c>
      <c r="B163" s="294" t="s">
        <v>58</v>
      </c>
      <c r="C163" s="294" t="s">
        <v>59</v>
      </c>
      <c r="D163" s="294" t="s">
        <v>60</v>
      </c>
      <c r="E163" s="69" t="s">
        <v>61</v>
      </c>
      <c r="F163" s="69" t="s">
        <v>1085</v>
      </c>
      <c r="G163" s="128">
        <v>8</v>
      </c>
      <c r="H163" s="129">
        <v>8</v>
      </c>
      <c r="I163" s="129">
        <v>0</v>
      </c>
      <c r="J163" s="129">
        <v>0</v>
      </c>
      <c r="K163" s="69" t="s">
        <v>63</v>
      </c>
      <c r="L163" s="115" t="s">
        <v>67</v>
      </c>
      <c r="M163" s="119">
        <f>6300000-6300000</f>
        <v>0</v>
      </c>
      <c r="N163" s="119"/>
      <c r="O163" s="119"/>
      <c r="P163" s="119"/>
      <c r="Q163" s="143"/>
      <c r="R163" s="119">
        <v>6300000</v>
      </c>
      <c r="S163" s="143" t="s">
        <v>63</v>
      </c>
      <c r="T163" s="69" t="s">
        <v>66</v>
      </c>
      <c r="U163" s="119">
        <v>0</v>
      </c>
      <c r="V163" s="69" t="s">
        <v>67</v>
      </c>
      <c r="W163" s="69" t="s">
        <v>68</v>
      </c>
      <c r="X163" s="69" t="s">
        <v>69</v>
      </c>
      <c r="Y163" s="128">
        <v>3422121</v>
      </c>
      <c r="Z163" s="130" t="s">
        <v>70</v>
      </c>
      <c r="AA163" s="70" t="s">
        <v>67</v>
      </c>
      <c r="AB163" s="131" t="s">
        <v>1082</v>
      </c>
      <c r="AC163" s="170">
        <v>6300000</v>
      </c>
      <c r="AD163" s="119"/>
      <c r="AE163" s="119"/>
      <c r="AF163" s="119"/>
      <c r="AG163" s="69"/>
      <c r="AH163" s="69"/>
    </row>
    <row r="164" spans="1:34" s="122" customFormat="1" ht="24.95" customHeight="1" x14ac:dyDescent="0.25">
      <c r="A164" s="128">
        <v>86101600</v>
      </c>
      <c r="B164" s="294" t="s">
        <v>58</v>
      </c>
      <c r="C164" s="294" t="s">
        <v>59</v>
      </c>
      <c r="D164" s="294" t="s">
        <v>60</v>
      </c>
      <c r="E164" s="69" t="s">
        <v>61</v>
      </c>
      <c r="F164" s="69" t="s">
        <v>1086</v>
      </c>
      <c r="G164" s="128">
        <v>8</v>
      </c>
      <c r="H164" s="129">
        <v>8</v>
      </c>
      <c r="I164" s="129">
        <v>0</v>
      </c>
      <c r="J164" s="129">
        <v>0</v>
      </c>
      <c r="K164" s="69" t="s">
        <v>63</v>
      </c>
      <c r="L164" s="115" t="s">
        <v>67</v>
      </c>
      <c r="M164" s="119">
        <f>6520500-6520500</f>
        <v>0</v>
      </c>
      <c r="N164" s="119"/>
      <c r="O164" s="119"/>
      <c r="P164" s="119"/>
      <c r="Q164" s="143"/>
      <c r="R164" s="119">
        <v>6520500</v>
      </c>
      <c r="S164" s="143" t="s">
        <v>63</v>
      </c>
      <c r="T164" s="69" t="s">
        <v>66</v>
      </c>
      <c r="U164" s="119">
        <v>0</v>
      </c>
      <c r="V164" s="69" t="s">
        <v>67</v>
      </c>
      <c r="W164" s="69" t="s">
        <v>68</v>
      </c>
      <c r="X164" s="69" t="s">
        <v>69</v>
      </c>
      <c r="Y164" s="128">
        <v>3422121</v>
      </c>
      <c r="Z164" s="130" t="s">
        <v>70</v>
      </c>
      <c r="AA164" s="70" t="s">
        <v>67</v>
      </c>
      <c r="AB164" s="131" t="s">
        <v>1082</v>
      </c>
      <c r="AC164" s="170">
        <v>6520500</v>
      </c>
      <c r="AD164" s="119"/>
      <c r="AE164" s="119"/>
      <c r="AF164" s="119"/>
      <c r="AG164" s="69"/>
      <c r="AH164" s="69"/>
    </row>
    <row r="165" spans="1:34" s="122" customFormat="1" ht="24.95" customHeight="1" x14ac:dyDescent="0.25">
      <c r="A165" s="128">
        <v>86101600</v>
      </c>
      <c r="B165" s="294" t="s">
        <v>58</v>
      </c>
      <c r="C165" s="294" t="s">
        <v>59</v>
      </c>
      <c r="D165" s="294" t="s">
        <v>60</v>
      </c>
      <c r="E165" s="69" t="s">
        <v>61</v>
      </c>
      <c r="F165" s="69" t="s">
        <v>1086</v>
      </c>
      <c r="G165" s="128">
        <v>8</v>
      </c>
      <c r="H165" s="129">
        <v>8</v>
      </c>
      <c r="I165" s="129">
        <v>0</v>
      </c>
      <c r="J165" s="129">
        <v>0</v>
      </c>
      <c r="K165" s="69" t="s">
        <v>63</v>
      </c>
      <c r="L165" s="115" t="s">
        <v>67</v>
      </c>
      <c r="M165" s="119">
        <f>6520500-6520500</f>
        <v>0</v>
      </c>
      <c r="N165" s="119"/>
      <c r="O165" s="119"/>
      <c r="P165" s="119"/>
      <c r="Q165" s="143"/>
      <c r="R165" s="119">
        <v>6520500</v>
      </c>
      <c r="S165" s="143" t="s">
        <v>63</v>
      </c>
      <c r="T165" s="69" t="s">
        <v>66</v>
      </c>
      <c r="U165" s="119">
        <v>0</v>
      </c>
      <c r="V165" s="69" t="s">
        <v>67</v>
      </c>
      <c r="W165" s="69" t="s">
        <v>68</v>
      </c>
      <c r="X165" s="69" t="s">
        <v>69</v>
      </c>
      <c r="Y165" s="128">
        <v>3422121</v>
      </c>
      <c r="Z165" s="130" t="s">
        <v>70</v>
      </c>
      <c r="AA165" s="70" t="s">
        <v>67</v>
      </c>
      <c r="AB165" s="131" t="s">
        <v>1082</v>
      </c>
      <c r="AC165" s="170">
        <v>6520500</v>
      </c>
      <c r="AD165" s="119"/>
      <c r="AE165" s="119"/>
      <c r="AF165" s="119"/>
      <c r="AG165" s="69"/>
      <c r="AH165" s="69"/>
    </row>
    <row r="166" spans="1:34" s="122" customFormat="1" ht="24.95" customHeight="1" x14ac:dyDescent="0.25">
      <c r="A166" s="128">
        <v>86101600</v>
      </c>
      <c r="B166" s="294" t="s">
        <v>58</v>
      </c>
      <c r="C166" s="294" t="s">
        <v>59</v>
      </c>
      <c r="D166" s="294" t="s">
        <v>60</v>
      </c>
      <c r="E166" s="69" t="s">
        <v>72</v>
      </c>
      <c r="F166" s="69" t="s">
        <v>1087</v>
      </c>
      <c r="G166" s="128">
        <v>8</v>
      </c>
      <c r="H166" s="129">
        <v>8</v>
      </c>
      <c r="I166" s="129">
        <v>1</v>
      </c>
      <c r="J166" s="129">
        <v>0</v>
      </c>
      <c r="K166" s="69" t="s">
        <v>63</v>
      </c>
      <c r="L166" s="115" t="s">
        <v>67</v>
      </c>
      <c r="M166" s="119">
        <f>1200000-1200000</f>
        <v>0</v>
      </c>
      <c r="N166" s="119"/>
      <c r="O166" s="119"/>
      <c r="P166" s="119"/>
      <c r="Q166" s="143"/>
      <c r="R166" s="119">
        <v>1200000</v>
      </c>
      <c r="S166" s="143" t="s">
        <v>63</v>
      </c>
      <c r="T166" s="69" t="s">
        <v>66</v>
      </c>
      <c r="U166" s="119">
        <v>0</v>
      </c>
      <c r="V166" s="69" t="s">
        <v>67</v>
      </c>
      <c r="W166" s="69" t="s">
        <v>68</v>
      </c>
      <c r="X166" s="69" t="s">
        <v>69</v>
      </c>
      <c r="Y166" s="128">
        <v>3422121</v>
      </c>
      <c r="Z166" s="130" t="s">
        <v>70</v>
      </c>
      <c r="AA166" s="70" t="s">
        <v>67</v>
      </c>
      <c r="AB166" s="131" t="s">
        <v>1088</v>
      </c>
      <c r="AC166" s="170">
        <v>1200000</v>
      </c>
      <c r="AD166" s="119"/>
      <c r="AE166" s="119"/>
      <c r="AF166" s="119"/>
      <c r="AG166" s="69"/>
      <c r="AH166" s="69"/>
    </row>
    <row r="167" spans="1:34" s="122" customFormat="1" ht="24.95" customHeight="1" x14ac:dyDescent="0.25">
      <c r="A167" s="128">
        <v>86101600</v>
      </c>
      <c r="B167" s="294" t="s">
        <v>58</v>
      </c>
      <c r="C167" s="294" t="s">
        <v>59</v>
      </c>
      <c r="D167" s="294" t="s">
        <v>60</v>
      </c>
      <c r="E167" s="69" t="s">
        <v>72</v>
      </c>
      <c r="F167" s="69" t="s">
        <v>1089</v>
      </c>
      <c r="G167" s="128">
        <v>8</v>
      </c>
      <c r="H167" s="129">
        <v>1</v>
      </c>
      <c r="I167" s="129">
        <v>1</v>
      </c>
      <c r="J167" s="129">
        <v>0</v>
      </c>
      <c r="K167" s="69" t="s">
        <v>63</v>
      </c>
      <c r="L167" s="115" t="s">
        <v>67</v>
      </c>
      <c r="M167" s="119">
        <f>1272978-1272978</f>
        <v>0</v>
      </c>
      <c r="N167" s="119"/>
      <c r="O167" s="119"/>
      <c r="P167" s="119"/>
      <c r="Q167" s="143"/>
      <c r="R167" s="119">
        <v>1272978</v>
      </c>
      <c r="S167" s="143" t="s">
        <v>63</v>
      </c>
      <c r="T167" s="69" t="s">
        <v>66</v>
      </c>
      <c r="U167" s="119">
        <v>0</v>
      </c>
      <c r="V167" s="69" t="s">
        <v>67</v>
      </c>
      <c r="W167" s="69" t="s">
        <v>68</v>
      </c>
      <c r="X167" s="69" t="s">
        <v>69</v>
      </c>
      <c r="Y167" s="128">
        <v>3422121</v>
      </c>
      <c r="Z167" s="130" t="s">
        <v>70</v>
      </c>
      <c r="AA167" s="70" t="s">
        <v>67</v>
      </c>
      <c r="AB167" s="131" t="s">
        <v>1082</v>
      </c>
      <c r="AC167" s="170">
        <v>1272978</v>
      </c>
      <c r="AD167" s="119"/>
      <c r="AE167" s="119"/>
      <c r="AF167" s="119"/>
      <c r="AG167" s="69"/>
      <c r="AH167" s="69"/>
    </row>
    <row r="168" spans="1:34" s="122" customFormat="1" ht="24.95" customHeight="1" x14ac:dyDescent="0.25">
      <c r="A168" s="128">
        <v>86101600</v>
      </c>
      <c r="B168" s="294" t="s">
        <v>58</v>
      </c>
      <c r="C168" s="294" t="s">
        <v>59</v>
      </c>
      <c r="D168" s="294" t="s">
        <v>60</v>
      </c>
      <c r="E168" s="69" t="s">
        <v>72</v>
      </c>
      <c r="F168" s="69" t="s">
        <v>1090</v>
      </c>
      <c r="G168" s="128">
        <v>8</v>
      </c>
      <c r="H168" s="129">
        <v>4</v>
      </c>
      <c r="I168" s="129">
        <v>4</v>
      </c>
      <c r="J168" s="129">
        <v>0</v>
      </c>
      <c r="K168" s="69" t="s">
        <v>63</v>
      </c>
      <c r="L168" s="115" t="s">
        <v>67</v>
      </c>
      <c r="M168" s="119">
        <f>7268000-7268000</f>
        <v>0</v>
      </c>
      <c r="N168" s="119"/>
      <c r="O168" s="119"/>
      <c r="P168" s="119"/>
      <c r="Q168" s="143"/>
      <c r="R168" s="119">
        <v>7268000</v>
      </c>
      <c r="S168" s="143" t="s">
        <v>63</v>
      </c>
      <c r="T168" s="69" t="s">
        <v>66</v>
      </c>
      <c r="U168" s="119">
        <v>0</v>
      </c>
      <c r="V168" s="69" t="s">
        <v>67</v>
      </c>
      <c r="W168" s="69" t="s">
        <v>68</v>
      </c>
      <c r="X168" s="69" t="s">
        <v>69</v>
      </c>
      <c r="Y168" s="128">
        <v>3422121</v>
      </c>
      <c r="Z168" s="130" t="s">
        <v>70</v>
      </c>
      <c r="AA168" s="70" t="s">
        <v>67</v>
      </c>
      <c r="AB168" s="131" t="s">
        <v>1082</v>
      </c>
      <c r="AC168" s="170"/>
      <c r="AD168" s="119"/>
      <c r="AE168" s="119"/>
      <c r="AF168" s="119">
        <v>7268000</v>
      </c>
      <c r="AG168" s="69"/>
      <c r="AH168" s="69"/>
    </row>
    <row r="169" spans="1:34" s="122" customFormat="1" ht="24.95" customHeight="1" x14ac:dyDescent="0.25">
      <c r="A169" s="128">
        <v>86101600</v>
      </c>
      <c r="B169" s="294" t="s">
        <v>58</v>
      </c>
      <c r="C169" s="294" t="s">
        <v>59</v>
      </c>
      <c r="D169" s="294" t="s">
        <v>60</v>
      </c>
      <c r="E169" s="69" t="s">
        <v>72</v>
      </c>
      <c r="F169" s="69" t="s">
        <v>1091</v>
      </c>
      <c r="G169" s="128">
        <v>8</v>
      </c>
      <c r="H169" s="129">
        <v>4</v>
      </c>
      <c r="I169" s="129">
        <v>4</v>
      </c>
      <c r="J169" s="129">
        <v>0</v>
      </c>
      <c r="K169" s="69" t="s">
        <v>63</v>
      </c>
      <c r="L169" s="115" t="s">
        <v>67</v>
      </c>
      <c r="M169" s="119">
        <f>3634000-3634000</f>
        <v>0</v>
      </c>
      <c r="N169" s="119"/>
      <c r="O169" s="119"/>
      <c r="P169" s="119"/>
      <c r="Q169" s="143"/>
      <c r="R169" s="119">
        <v>3634000</v>
      </c>
      <c r="S169" s="143" t="s">
        <v>63</v>
      </c>
      <c r="T169" s="69" t="s">
        <v>66</v>
      </c>
      <c r="U169" s="119">
        <v>0</v>
      </c>
      <c r="V169" s="69" t="s">
        <v>67</v>
      </c>
      <c r="W169" s="69" t="s">
        <v>68</v>
      </c>
      <c r="X169" s="69" t="s">
        <v>69</v>
      </c>
      <c r="Y169" s="128">
        <v>3422121</v>
      </c>
      <c r="Z169" s="130" t="s">
        <v>70</v>
      </c>
      <c r="AA169" s="70" t="s">
        <v>67</v>
      </c>
      <c r="AB169" s="131" t="s">
        <v>1082</v>
      </c>
      <c r="AC169" s="170"/>
      <c r="AD169" s="119"/>
      <c r="AE169" s="119"/>
      <c r="AF169" s="119">
        <v>3634000</v>
      </c>
      <c r="AG169" s="69"/>
      <c r="AH169" s="69"/>
    </row>
    <row r="170" spans="1:34" s="122" customFormat="1" ht="24.95" customHeight="1" x14ac:dyDescent="0.25">
      <c r="A170" s="128">
        <v>86101600</v>
      </c>
      <c r="B170" s="294" t="s">
        <v>58</v>
      </c>
      <c r="C170" s="294" t="s">
        <v>59</v>
      </c>
      <c r="D170" s="294" t="s">
        <v>60</v>
      </c>
      <c r="E170" s="69" t="s">
        <v>74</v>
      </c>
      <c r="F170" s="69" t="s">
        <v>1092</v>
      </c>
      <c r="G170" s="128">
        <v>9</v>
      </c>
      <c r="H170" s="129">
        <v>1</v>
      </c>
      <c r="I170" s="129">
        <v>0</v>
      </c>
      <c r="J170" s="129">
        <v>0</v>
      </c>
      <c r="K170" s="69" t="s">
        <v>63</v>
      </c>
      <c r="L170" s="115" t="s">
        <v>67</v>
      </c>
      <c r="M170" s="119">
        <f>3300000-3300000</f>
        <v>0</v>
      </c>
      <c r="N170" s="119"/>
      <c r="O170" s="119"/>
      <c r="P170" s="119"/>
      <c r="Q170" s="143"/>
      <c r="R170" s="119">
        <v>4350000</v>
      </c>
      <c r="S170" s="143" t="s">
        <v>63</v>
      </c>
      <c r="T170" s="69" t="s">
        <v>66</v>
      </c>
      <c r="U170" s="119">
        <v>0</v>
      </c>
      <c r="V170" s="69" t="s">
        <v>67</v>
      </c>
      <c r="W170" s="69" t="s">
        <v>68</v>
      </c>
      <c r="X170" s="69" t="s">
        <v>69</v>
      </c>
      <c r="Y170" s="128">
        <v>3422121</v>
      </c>
      <c r="Z170" s="130" t="s">
        <v>70</v>
      </c>
      <c r="AA170" s="70" t="s">
        <v>67</v>
      </c>
      <c r="AB170" s="131" t="s">
        <v>1093</v>
      </c>
      <c r="AC170" s="170">
        <v>3300000</v>
      </c>
      <c r="AD170" s="119"/>
      <c r="AE170" s="119"/>
      <c r="AF170" s="119"/>
      <c r="AG170" s="69" t="s">
        <v>1094</v>
      </c>
      <c r="AH170" s="69"/>
    </row>
    <row r="171" spans="1:34" s="122" customFormat="1" ht="24.95" customHeight="1" x14ac:dyDescent="0.25">
      <c r="A171" s="128">
        <v>78111503</v>
      </c>
      <c r="B171" s="294" t="s">
        <v>58</v>
      </c>
      <c r="C171" s="294" t="s">
        <v>59</v>
      </c>
      <c r="D171" s="294" t="s">
        <v>60</v>
      </c>
      <c r="E171" s="69" t="s">
        <v>91</v>
      </c>
      <c r="F171" s="69" t="s">
        <v>1095</v>
      </c>
      <c r="G171" s="128">
        <v>2</v>
      </c>
      <c r="H171" s="129">
        <v>2</v>
      </c>
      <c r="I171" s="129">
        <v>11</v>
      </c>
      <c r="J171" s="129">
        <v>0</v>
      </c>
      <c r="K171" s="69" t="s">
        <v>83</v>
      </c>
      <c r="L171" s="115" t="s">
        <v>67</v>
      </c>
      <c r="M171" s="119">
        <f>8000000-8000000</f>
        <v>0</v>
      </c>
      <c r="N171" s="119"/>
      <c r="O171" s="119"/>
      <c r="P171" s="119"/>
      <c r="Q171" s="143"/>
      <c r="R171" s="119">
        <v>8000000</v>
      </c>
      <c r="S171" s="143" t="s">
        <v>67</v>
      </c>
      <c r="T171" s="69" t="s">
        <v>66</v>
      </c>
      <c r="U171" s="119">
        <v>0</v>
      </c>
      <c r="V171" s="69" t="s">
        <v>67</v>
      </c>
      <c r="W171" s="69" t="s">
        <v>68</v>
      </c>
      <c r="X171" s="69" t="s">
        <v>69</v>
      </c>
      <c r="Y171" s="128">
        <v>3422121</v>
      </c>
      <c r="Z171" s="130" t="s">
        <v>70</v>
      </c>
      <c r="AA171" s="70" t="s">
        <v>67</v>
      </c>
      <c r="AB171" s="70"/>
      <c r="AC171" s="170"/>
      <c r="AD171" s="119"/>
      <c r="AE171" s="119"/>
      <c r="AF171" s="119">
        <v>14000000</v>
      </c>
      <c r="AG171" s="69"/>
      <c r="AH171" s="69"/>
    </row>
    <row r="172" spans="1:34" ht="24.95" customHeight="1" x14ac:dyDescent="0.25">
      <c r="A172" s="26">
        <v>86101600</v>
      </c>
      <c r="B172" s="36" t="s">
        <v>58</v>
      </c>
      <c r="C172" s="36" t="s">
        <v>59</v>
      </c>
      <c r="D172" s="36" t="s">
        <v>60</v>
      </c>
      <c r="E172" s="21" t="s">
        <v>61</v>
      </c>
      <c r="F172" s="21" t="s">
        <v>1096</v>
      </c>
      <c r="G172" s="26">
        <v>1</v>
      </c>
      <c r="H172" s="22">
        <v>1</v>
      </c>
      <c r="I172" s="22">
        <v>11</v>
      </c>
      <c r="J172" s="22">
        <v>0</v>
      </c>
      <c r="K172" s="21" t="s">
        <v>83</v>
      </c>
      <c r="L172" s="21" t="s">
        <v>3</v>
      </c>
      <c r="M172" s="23">
        <v>73520370</v>
      </c>
      <c r="N172" s="23" t="s">
        <v>867</v>
      </c>
      <c r="O172" s="86" t="s">
        <v>8</v>
      </c>
      <c r="P172" s="509">
        <v>201891000290</v>
      </c>
      <c r="Q172" s="86" t="s">
        <v>949</v>
      </c>
      <c r="R172" s="45">
        <v>73520370</v>
      </c>
      <c r="S172" s="86" t="s">
        <v>67</v>
      </c>
      <c r="T172" s="21" t="s">
        <v>66</v>
      </c>
      <c r="U172" s="23">
        <v>0</v>
      </c>
      <c r="V172" s="21" t="s">
        <v>67</v>
      </c>
      <c r="W172" s="21" t="s">
        <v>68</v>
      </c>
      <c r="X172" s="21" t="s">
        <v>69</v>
      </c>
      <c r="Y172" s="26">
        <v>3422121</v>
      </c>
      <c r="Z172" s="27" t="s">
        <v>70</v>
      </c>
      <c r="AA172" s="13" t="s">
        <v>67</v>
      </c>
      <c r="AB172" s="13"/>
      <c r="AC172" s="171"/>
      <c r="AD172" s="23"/>
      <c r="AE172" s="23"/>
      <c r="AF172" s="23">
        <v>73520370</v>
      </c>
      <c r="AG172" s="21"/>
      <c r="AH172" s="21"/>
    </row>
    <row r="173" spans="1:34" ht="24.95" customHeight="1" x14ac:dyDescent="0.25">
      <c r="A173" s="26">
        <v>86101600</v>
      </c>
      <c r="B173" s="36" t="s">
        <v>58</v>
      </c>
      <c r="C173" s="36" t="s">
        <v>59</v>
      </c>
      <c r="D173" s="36" t="s">
        <v>60</v>
      </c>
      <c r="E173" s="21" t="s">
        <v>61</v>
      </c>
      <c r="F173" s="21" t="s">
        <v>1097</v>
      </c>
      <c r="G173" s="26">
        <v>2</v>
      </c>
      <c r="H173" s="22">
        <v>2</v>
      </c>
      <c r="I173" s="22">
        <v>10</v>
      </c>
      <c r="J173" s="22">
        <v>15</v>
      </c>
      <c r="K173" s="21" t="s">
        <v>83</v>
      </c>
      <c r="L173" s="21" t="s">
        <v>3</v>
      </c>
      <c r="M173" s="23">
        <v>55140278</v>
      </c>
      <c r="N173" s="23" t="s">
        <v>867</v>
      </c>
      <c r="O173" s="86" t="s">
        <v>8</v>
      </c>
      <c r="P173" s="509">
        <v>201891000290</v>
      </c>
      <c r="Q173" s="86" t="s">
        <v>949</v>
      </c>
      <c r="R173" s="45">
        <v>55140278</v>
      </c>
      <c r="S173" s="86" t="s">
        <v>67</v>
      </c>
      <c r="T173" s="21" t="s">
        <v>66</v>
      </c>
      <c r="U173" s="23">
        <v>0</v>
      </c>
      <c r="V173" s="21" t="s">
        <v>67</v>
      </c>
      <c r="W173" s="21" t="s">
        <v>68</v>
      </c>
      <c r="X173" s="21" t="s">
        <v>69</v>
      </c>
      <c r="Y173" s="26">
        <v>3422121</v>
      </c>
      <c r="Z173" s="27" t="s">
        <v>70</v>
      </c>
      <c r="AA173" s="13" t="s">
        <v>67</v>
      </c>
      <c r="AB173" s="13"/>
      <c r="AC173" s="171"/>
      <c r="AD173" s="23">
        <f>55140278-33084167</f>
        <v>22056111</v>
      </c>
      <c r="AE173" s="23"/>
      <c r="AF173" s="23">
        <v>33084167</v>
      </c>
      <c r="AG173" s="21" t="s">
        <v>1098</v>
      </c>
      <c r="AH173" s="21">
        <v>30</v>
      </c>
    </row>
    <row r="174" spans="1:34" ht="24.95" customHeight="1" x14ac:dyDescent="0.25">
      <c r="A174" s="459">
        <v>86101600</v>
      </c>
      <c r="B174" s="460" t="s">
        <v>58</v>
      </c>
      <c r="C174" s="460" t="s">
        <v>59</v>
      </c>
      <c r="D174" s="460" t="s">
        <v>60</v>
      </c>
      <c r="E174" s="461" t="s">
        <v>61</v>
      </c>
      <c r="F174" s="461" t="s">
        <v>1099</v>
      </c>
      <c r="G174" s="26">
        <v>2</v>
      </c>
      <c r="H174" s="22">
        <v>2</v>
      </c>
      <c r="I174" s="22">
        <v>10</v>
      </c>
      <c r="J174" s="22">
        <v>15</v>
      </c>
      <c r="K174" s="21" t="s">
        <v>83</v>
      </c>
      <c r="L174" s="21" t="s">
        <v>3</v>
      </c>
      <c r="M174" s="462">
        <f>55140278-8651360+8651360</f>
        <v>55140278</v>
      </c>
      <c r="N174" s="23" t="s">
        <v>867</v>
      </c>
      <c r="O174" s="86" t="s">
        <v>8</v>
      </c>
      <c r="P174" s="509">
        <v>201891000290</v>
      </c>
      <c r="Q174" s="86" t="s">
        <v>949</v>
      </c>
      <c r="R174" s="462">
        <v>14414479</v>
      </c>
      <c r="S174" s="463" t="s">
        <v>67</v>
      </c>
      <c r="T174" s="461" t="s">
        <v>66</v>
      </c>
      <c r="U174" s="462">
        <v>0</v>
      </c>
      <c r="V174" s="461" t="s">
        <v>67</v>
      </c>
      <c r="W174" s="461" t="s">
        <v>68</v>
      </c>
      <c r="X174" s="461" t="s">
        <v>69</v>
      </c>
      <c r="Y174" s="459">
        <v>3422121</v>
      </c>
      <c r="Z174" s="464" t="s">
        <v>70</v>
      </c>
      <c r="AA174" s="465" t="s">
        <v>227</v>
      </c>
      <c r="AB174" s="465"/>
      <c r="AC174" s="466"/>
      <c r="AD174" s="462"/>
      <c r="AE174" s="462">
        <f>55140278-33084167</f>
        <v>22056111</v>
      </c>
      <c r="AF174" s="462">
        <v>33084167</v>
      </c>
      <c r="AG174" s="461"/>
      <c r="AH174" s="461"/>
    </row>
    <row r="175" spans="1:34" ht="24.95" customHeight="1" x14ac:dyDescent="0.25">
      <c r="A175" s="26">
        <v>86101600</v>
      </c>
      <c r="B175" s="36" t="s">
        <v>58</v>
      </c>
      <c r="C175" s="36" t="s">
        <v>59</v>
      </c>
      <c r="D175" s="36" t="s">
        <v>60</v>
      </c>
      <c r="E175" s="21" t="s">
        <v>61</v>
      </c>
      <c r="F175" s="21" t="s">
        <v>1100</v>
      </c>
      <c r="G175" s="26">
        <v>2</v>
      </c>
      <c r="H175" s="22">
        <v>2</v>
      </c>
      <c r="I175" s="22">
        <v>10</v>
      </c>
      <c r="J175" s="22">
        <v>15</v>
      </c>
      <c r="K175" s="21" t="s">
        <v>83</v>
      </c>
      <c r="L175" s="21" t="s">
        <v>3</v>
      </c>
      <c r="M175" s="23">
        <v>55140278</v>
      </c>
      <c r="N175" s="23" t="s">
        <v>867</v>
      </c>
      <c r="O175" s="86" t="s">
        <v>8</v>
      </c>
      <c r="P175" s="509">
        <v>201891000290</v>
      </c>
      <c r="Q175" s="86" t="s">
        <v>949</v>
      </c>
      <c r="R175" s="45">
        <v>55140277.5</v>
      </c>
      <c r="S175" s="86" t="s">
        <v>67</v>
      </c>
      <c r="T175" s="21" t="s">
        <v>66</v>
      </c>
      <c r="U175" s="23">
        <v>0</v>
      </c>
      <c r="V175" s="21" t="s">
        <v>67</v>
      </c>
      <c r="W175" s="21" t="s">
        <v>68</v>
      </c>
      <c r="X175" s="21" t="s">
        <v>69</v>
      </c>
      <c r="Y175" s="26">
        <v>3422121</v>
      </c>
      <c r="Z175" s="27" t="s">
        <v>70</v>
      </c>
      <c r="AA175" s="13" t="s">
        <v>67</v>
      </c>
      <c r="AB175" s="13"/>
      <c r="AC175" s="171"/>
      <c r="AD175" s="23"/>
      <c r="AE175" s="23">
        <f>55140278-33084167</f>
        <v>22056111</v>
      </c>
      <c r="AF175" s="23">
        <v>33084167</v>
      </c>
      <c r="AG175" s="21"/>
      <c r="AH175" s="21"/>
    </row>
    <row r="176" spans="1:34" ht="24.95" customHeight="1" x14ac:dyDescent="0.25">
      <c r="A176" s="26">
        <v>86101600</v>
      </c>
      <c r="B176" s="36" t="s">
        <v>58</v>
      </c>
      <c r="C176" s="36" t="s">
        <v>59</v>
      </c>
      <c r="D176" s="36" t="s">
        <v>60</v>
      </c>
      <c r="E176" s="21" t="s">
        <v>61</v>
      </c>
      <c r="F176" s="21" t="s">
        <v>1101</v>
      </c>
      <c r="G176" s="26">
        <v>2</v>
      </c>
      <c r="H176" s="22">
        <v>2</v>
      </c>
      <c r="I176" s="22">
        <v>10</v>
      </c>
      <c r="J176" s="22">
        <v>15</v>
      </c>
      <c r="K176" s="21" t="s">
        <v>83</v>
      </c>
      <c r="L176" s="21" t="s">
        <v>3</v>
      </c>
      <c r="M176" s="23">
        <v>58482113</v>
      </c>
      <c r="N176" s="23" t="s">
        <v>867</v>
      </c>
      <c r="O176" s="86" t="s">
        <v>8</v>
      </c>
      <c r="P176" s="509">
        <v>201891000290</v>
      </c>
      <c r="Q176" s="86" t="s">
        <v>949</v>
      </c>
      <c r="R176" s="45">
        <v>58482112.5</v>
      </c>
      <c r="S176" s="86" t="s">
        <v>67</v>
      </c>
      <c r="T176" s="21" t="s">
        <v>66</v>
      </c>
      <c r="U176" s="23">
        <v>0</v>
      </c>
      <c r="V176" s="21" t="s">
        <v>67</v>
      </c>
      <c r="W176" s="21" t="s">
        <v>68</v>
      </c>
      <c r="X176" s="21" t="s">
        <v>69</v>
      </c>
      <c r="Y176" s="26">
        <v>3422121</v>
      </c>
      <c r="Z176" s="27" t="s">
        <v>70</v>
      </c>
      <c r="AA176" s="13" t="s">
        <v>67</v>
      </c>
      <c r="AB176" s="13"/>
      <c r="AC176" s="171"/>
      <c r="AD176" s="23"/>
      <c r="AE176" s="23">
        <f>17544633+5484211</f>
        <v>23028844</v>
      </c>
      <c r="AF176" s="23">
        <v>35453268.5</v>
      </c>
      <c r="AG176" s="21"/>
      <c r="AH176" s="21"/>
    </row>
    <row r="177" spans="1:34" ht="24.95" customHeight="1" x14ac:dyDescent="0.25">
      <c r="A177" s="26">
        <v>86101600</v>
      </c>
      <c r="B177" s="36" t="s">
        <v>58</v>
      </c>
      <c r="C177" s="36" t="s">
        <v>59</v>
      </c>
      <c r="D177" s="36" t="s">
        <v>60</v>
      </c>
      <c r="E177" s="21" t="s">
        <v>61</v>
      </c>
      <c r="F177" s="21" t="s">
        <v>1102</v>
      </c>
      <c r="G177" s="26">
        <v>7</v>
      </c>
      <c r="H177" s="22">
        <v>7</v>
      </c>
      <c r="I177" s="22">
        <v>1</v>
      </c>
      <c r="J177" s="22">
        <v>4</v>
      </c>
      <c r="K177" s="21" t="s">
        <v>83</v>
      </c>
      <c r="L177" s="115" t="s">
        <v>67</v>
      </c>
      <c r="M177" s="23">
        <v>0</v>
      </c>
      <c r="N177" s="23"/>
      <c r="O177" s="23"/>
      <c r="P177" s="23"/>
      <c r="Q177" s="86"/>
      <c r="R177" s="45">
        <v>10183868</v>
      </c>
      <c r="S177" s="86" t="s">
        <v>63</v>
      </c>
      <c r="T177" s="21" t="s">
        <v>66</v>
      </c>
      <c r="U177" s="23">
        <v>0</v>
      </c>
      <c r="V177" s="21" t="s">
        <v>67</v>
      </c>
      <c r="W177" s="21" t="s">
        <v>68</v>
      </c>
      <c r="X177" s="21" t="s">
        <v>69</v>
      </c>
      <c r="Y177" s="26">
        <v>3422121</v>
      </c>
      <c r="Z177" s="27" t="s">
        <v>70</v>
      </c>
      <c r="AA177" s="13" t="s">
        <v>67</v>
      </c>
      <c r="AB177" s="13"/>
      <c r="AC177" s="171"/>
      <c r="AD177" s="23"/>
      <c r="AE177" s="23"/>
      <c r="AF177" s="23"/>
      <c r="AG177" s="21"/>
      <c r="AH177" s="21"/>
    </row>
    <row r="178" spans="1:34" ht="24.95" customHeight="1" x14ac:dyDescent="0.25">
      <c r="A178" s="26">
        <v>86101600</v>
      </c>
      <c r="B178" s="36" t="s">
        <v>58</v>
      </c>
      <c r="C178" s="36" t="s">
        <v>59</v>
      </c>
      <c r="D178" s="36" t="s">
        <v>60</v>
      </c>
      <c r="E178" s="21" t="s">
        <v>61</v>
      </c>
      <c r="F178" s="21" t="s">
        <v>1103</v>
      </c>
      <c r="G178" s="26">
        <v>2</v>
      </c>
      <c r="H178" s="22">
        <v>2</v>
      </c>
      <c r="I178" s="22">
        <v>3</v>
      </c>
      <c r="J178" s="22">
        <v>0</v>
      </c>
      <c r="K178" s="21" t="s">
        <v>63</v>
      </c>
      <c r="L178" s="21" t="s">
        <v>3</v>
      </c>
      <c r="M178" s="23">
        <v>24530202</v>
      </c>
      <c r="N178" s="23" t="s">
        <v>867</v>
      </c>
      <c r="O178" s="86" t="s">
        <v>8</v>
      </c>
      <c r="P178" s="509">
        <v>201891000290</v>
      </c>
      <c r="Q178" s="86" t="s">
        <v>949</v>
      </c>
      <c r="R178" s="45">
        <v>0</v>
      </c>
      <c r="S178" s="86" t="s">
        <v>63</v>
      </c>
      <c r="T178" s="21" t="s">
        <v>66</v>
      </c>
      <c r="U178" s="23">
        <v>0</v>
      </c>
      <c r="V178" s="21" t="s">
        <v>67</v>
      </c>
      <c r="W178" s="21" t="s">
        <v>68</v>
      </c>
      <c r="X178" s="21" t="s">
        <v>69</v>
      </c>
      <c r="Y178" s="26">
        <v>3422121</v>
      </c>
      <c r="Z178" s="27" t="s">
        <v>70</v>
      </c>
      <c r="AA178" s="13" t="s">
        <v>67</v>
      </c>
      <c r="AB178" s="13"/>
      <c r="AC178" s="171"/>
      <c r="AD178" s="23"/>
      <c r="AE178" s="23"/>
      <c r="AF178" s="23">
        <v>24530202</v>
      </c>
      <c r="AG178" s="21"/>
      <c r="AH178" s="21"/>
    </row>
    <row r="179" spans="1:34" ht="24.95" customHeight="1" x14ac:dyDescent="0.25">
      <c r="A179" s="26">
        <v>86101600</v>
      </c>
      <c r="B179" s="36" t="s">
        <v>58</v>
      </c>
      <c r="C179" s="36" t="s">
        <v>59</v>
      </c>
      <c r="D179" s="36" t="s">
        <v>60</v>
      </c>
      <c r="E179" s="21" t="s">
        <v>61</v>
      </c>
      <c r="F179" s="21" t="s">
        <v>1104</v>
      </c>
      <c r="G179" s="26">
        <v>2</v>
      </c>
      <c r="H179" s="22">
        <v>2</v>
      </c>
      <c r="I179" s="22">
        <v>3</v>
      </c>
      <c r="J179" s="22">
        <v>0</v>
      </c>
      <c r="K179" s="21" t="s">
        <v>63</v>
      </c>
      <c r="L179" s="21" t="s">
        <v>3</v>
      </c>
      <c r="M179" s="23">
        <v>9216935</v>
      </c>
      <c r="N179" s="23" t="s">
        <v>867</v>
      </c>
      <c r="O179" s="86" t="s">
        <v>8</v>
      </c>
      <c r="P179" s="509">
        <v>201891000290</v>
      </c>
      <c r="Q179" s="86" t="s">
        <v>949</v>
      </c>
      <c r="R179" s="45">
        <v>0</v>
      </c>
      <c r="S179" s="86" t="s">
        <v>63</v>
      </c>
      <c r="T179" s="21" t="s">
        <v>66</v>
      </c>
      <c r="U179" s="23">
        <v>0</v>
      </c>
      <c r="V179" s="21" t="s">
        <v>67</v>
      </c>
      <c r="W179" s="21" t="s">
        <v>68</v>
      </c>
      <c r="X179" s="21" t="s">
        <v>69</v>
      </c>
      <c r="Y179" s="26">
        <v>3422121</v>
      </c>
      <c r="Z179" s="27" t="s">
        <v>70</v>
      </c>
      <c r="AA179" s="13" t="s">
        <v>67</v>
      </c>
      <c r="AB179" s="13"/>
      <c r="AC179" s="171"/>
      <c r="AD179" s="23"/>
      <c r="AE179" s="23"/>
      <c r="AF179" s="23">
        <v>9216935</v>
      </c>
      <c r="AG179" s="21"/>
      <c r="AH179" s="21"/>
    </row>
    <row r="180" spans="1:34" ht="24.95" customHeight="1" x14ac:dyDescent="0.25">
      <c r="A180" s="26">
        <v>86101600</v>
      </c>
      <c r="B180" s="36" t="s">
        <v>58</v>
      </c>
      <c r="C180" s="36" t="s">
        <v>59</v>
      </c>
      <c r="D180" s="36" t="s">
        <v>60</v>
      </c>
      <c r="E180" s="21" t="s">
        <v>72</v>
      </c>
      <c r="F180" s="21" t="s">
        <v>1105</v>
      </c>
      <c r="G180" s="26">
        <v>8</v>
      </c>
      <c r="H180" s="22">
        <v>8</v>
      </c>
      <c r="I180" s="22">
        <v>4</v>
      </c>
      <c r="J180" s="22">
        <v>0</v>
      </c>
      <c r="K180" s="21" t="s">
        <v>83</v>
      </c>
      <c r="L180" s="21" t="s">
        <v>3</v>
      </c>
      <c r="M180" s="23">
        <v>9658311</v>
      </c>
      <c r="N180" s="23" t="s">
        <v>867</v>
      </c>
      <c r="O180" s="86" t="s">
        <v>8</v>
      </c>
      <c r="P180" s="509">
        <v>201891000290</v>
      </c>
      <c r="Q180" s="86" t="s">
        <v>949</v>
      </c>
      <c r="R180" s="45">
        <v>9658311</v>
      </c>
      <c r="S180" s="86" t="s">
        <v>67</v>
      </c>
      <c r="T180" s="21" t="s">
        <v>66</v>
      </c>
      <c r="U180" s="23">
        <v>0</v>
      </c>
      <c r="V180" s="21" t="s">
        <v>67</v>
      </c>
      <c r="W180" s="21" t="s">
        <v>68</v>
      </c>
      <c r="X180" s="21" t="s">
        <v>69</v>
      </c>
      <c r="Y180" s="26">
        <v>3422121</v>
      </c>
      <c r="Z180" s="27" t="s">
        <v>70</v>
      </c>
      <c r="AA180" s="13" t="s">
        <v>67</v>
      </c>
      <c r="AB180" s="13"/>
      <c r="AC180" s="171"/>
      <c r="AD180" s="23"/>
      <c r="AE180" s="23"/>
      <c r="AF180" s="23">
        <v>9658311</v>
      </c>
      <c r="AG180" s="21"/>
      <c r="AH180" s="21"/>
    </row>
    <row r="181" spans="1:34" ht="24.95" customHeight="1" x14ac:dyDescent="0.25">
      <c r="A181" s="26">
        <v>86101600</v>
      </c>
      <c r="B181" s="36" t="s">
        <v>58</v>
      </c>
      <c r="C181" s="36" t="s">
        <v>59</v>
      </c>
      <c r="D181" s="36" t="s">
        <v>60</v>
      </c>
      <c r="E181" s="21" t="s">
        <v>72</v>
      </c>
      <c r="F181" s="21" t="s">
        <v>1106</v>
      </c>
      <c r="G181" s="26">
        <v>2</v>
      </c>
      <c r="H181" s="22">
        <v>2</v>
      </c>
      <c r="I181" s="22">
        <v>10</v>
      </c>
      <c r="J181" s="22">
        <v>15</v>
      </c>
      <c r="K181" s="21" t="s">
        <v>83</v>
      </c>
      <c r="L181" s="21" t="s">
        <v>3</v>
      </c>
      <c r="M181" s="23">
        <v>46785690</v>
      </c>
      <c r="N181" s="23" t="s">
        <v>867</v>
      </c>
      <c r="O181" s="86" t="s">
        <v>8</v>
      </c>
      <c r="P181" s="509">
        <v>201891000290</v>
      </c>
      <c r="Q181" s="86" t="s">
        <v>949</v>
      </c>
      <c r="R181" s="45">
        <v>46785690</v>
      </c>
      <c r="S181" s="86" t="s">
        <v>67</v>
      </c>
      <c r="T181" s="21" t="s">
        <v>66</v>
      </c>
      <c r="U181" s="23">
        <v>0</v>
      </c>
      <c r="V181" s="21" t="s">
        <v>67</v>
      </c>
      <c r="W181" s="21" t="s">
        <v>68</v>
      </c>
      <c r="X181" s="21" t="s">
        <v>69</v>
      </c>
      <c r="Y181" s="26">
        <v>3422121</v>
      </c>
      <c r="Z181" s="27" t="s">
        <v>70</v>
      </c>
      <c r="AA181" s="13" t="s">
        <v>67</v>
      </c>
      <c r="AB181" s="13"/>
      <c r="AC181" s="171"/>
      <c r="AD181" s="23"/>
      <c r="AE181" s="23">
        <f>46785690*40%</f>
        <v>18714276</v>
      </c>
      <c r="AF181" s="23">
        <v>28071414</v>
      </c>
      <c r="AG181" s="21" t="s">
        <v>1098</v>
      </c>
      <c r="AH181" s="21">
        <v>10</v>
      </c>
    </row>
    <row r="182" spans="1:34" ht="24.95" customHeight="1" x14ac:dyDescent="0.25">
      <c r="A182" s="26">
        <v>86101600</v>
      </c>
      <c r="B182" s="36" t="s">
        <v>58</v>
      </c>
      <c r="C182" s="36" t="s">
        <v>59</v>
      </c>
      <c r="D182" s="36" t="s">
        <v>60</v>
      </c>
      <c r="E182" s="21" t="s">
        <v>72</v>
      </c>
      <c r="F182" s="21" t="s">
        <v>1107</v>
      </c>
      <c r="G182" s="26">
        <v>2</v>
      </c>
      <c r="H182" s="22">
        <v>2</v>
      </c>
      <c r="I182" s="22">
        <v>10</v>
      </c>
      <c r="J182" s="22">
        <v>15</v>
      </c>
      <c r="K182" s="21" t="s">
        <v>83</v>
      </c>
      <c r="L182" s="21" t="s">
        <v>3</v>
      </c>
      <c r="M182" s="23">
        <f>52633901.25</f>
        <v>52633901.25</v>
      </c>
      <c r="N182" s="23" t="s">
        <v>867</v>
      </c>
      <c r="O182" s="86" t="s">
        <v>8</v>
      </c>
      <c r="P182" s="509">
        <v>201891000290</v>
      </c>
      <c r="Q182" s="86" t="s">
        <v>949</v>
      </c>
      <c r="R182" s="45">
        <v>52633901.25</v>
      </c>
      <c r="S182" s="86" t="s">
        <v>67</v>
      </c>
      <c r="T182" s="21" t="s">
        <v>66</v>
      </c>
      <c r="U182" s="23">
        <v>0</v>
      </c>
      <c r="V182" s="21" t="s">
        <v>67</v>
      </c>
      <c r="W182" s="21" t="s">
        <v>68</v>
      </c>
      <c r="X182" s="21" t="s">
        <v>69</v>
      </c>
      <c r="Y182" s="26">
        <v>3422121</v>
      </c>
      <c r="Z182" s="27" t="s">
        <v>70</v>
      </c>
      <c r="AA182" s="13" t="s">
        <v>67</v>
      </c>
      <c r="AB182" s="13"/>
      <c r="AC182" s="171"/>
      <c r="AD182" s="23"/>
      <c r="AE182" s="23">
        <f>52633901.25*40%</f>
        <v>21053560.5</v>
      </c>
      <c r="AF182" s="23">
        <v>31580340.75</v>
      </c>
      <c r="AG182" s="21" t="s">
        <v>1098</v>
      </c>
      <c r="AH182" s="21">
        <v>10</v>
      </c>
    </row>
    <row r="183" spans="1:34" ht="24.95" customHeight="1" x14ac:dyDescent="0.25">
      <c r="A183" s="26">
        <v>86101600</v>
      </c>
      <c r="B183" s="36" t="s">
        <v>58</v>
      </c>
      <c r="C183" s="36" t="s">
        <v>59</v>
      </c>
      <c r="D183" s="36" t="s">
        <v>60</v>
      </c>
      <c r="E183" s="21" t="s">
        <v>72</v>
      </c>
      <c r="F183" s="21" t="s">
        <v>1108</v>
      </c>
      <c r="G183" s="26">
        <v>2</v>
      </c>
      <c r="H183" s="22">
        <v>2</v>
      </c>
      <c r="I183" s="22">
        <v>10</v>
      </c>
      <c r="J183" s="22">
        <v>15</v>
      </c>
      <c r="K183" s="21" t="s">
        <v>83</v>
      </c>
      <c r="L183" s="21" t="s">
        <v>3</v>
      </c>
      <c r="M183" s="23">
        <f>64582287.5</f>
        <v>64582287.5</v>
      </c>
      <c r="N183" s="23" t="s">
        <v>867</v>
      </c>
      <c r="O183" s="86" t="s">
        <v>8</v>
      </c>
      <c r="P183" s="509">
        <v>201891000290</v>
      </c>
      <c r="Q183" s="86" t="s">
        <v>949</v>
      </c>
      <c r="R183" s="45">
        <v>64582287.5</v>
      </c>
      <c r="S183" s="86" t="s">
        <v>67</v>
      </c>
      <c r="T183" s="21" t="s">
        <v>66</v>
      </c>
      <c r="U183" s="23">
        <v>0</v>
      </c>
      <c r="V183" s="21" t="s">
        <v>67</v>
      </c>
      <c r="W183" s="21" t="s">
        <v>68</v>
      </c>
      <c r="X183" s="21" t="s">
        <v>69</v>
      </c>
      <c r="Y183" s="26">
        <v>3422121</v>
      </c>
      <c r="Z183" s="27" t="s">
        <v>70</v>
      </c>
      <c r="AA183" s="13" t="s">
        <v>67</v>
      </c>
      <c r="AB183" s="13"/>
      <c r="AC183" s="171"/>
      <c r="AD183" s="23">
        <v>6100175</v>
      </c>
      <c r="AE183" s="23">
        <v>25832915</v>
      </c>
      <c r="AF183" s="23">
        <v>32649198</v>
      </c>
      <c r="AG183" s="21" t="s">
        <v>1098</v>
      </c>
      <c r="AH183" s="21">
        <v>8</v>
      </c>
    </row>
    <row r="184" spans="1:34" ht="24.95" customHeight="1" x14ac:dyDescent="0.25">
      <c r="A184" s="26">
        <v>86101600</v>
      </c>
      <c r="B184" s="36" t="s">
        <v>58</v>
      </c>
      <c r="C184" s="36" t="s">
        <v>59</v>
      </c>
      <c r="D184" s="36" t="s">
        <v>60</v>
      </c>
      <c r="E184" s="21" t="s">
        <v>72</v>
      </c>
      <c r="F184" s="21" t="s">
        <v>1109</v>
      </c>
      <c r="G184" s="26">
        <v>1</v>
      </c>
      <c r="H184" s="22">
        <v>1</v>
      </c>
      <c r="I184" s="22">
        <v>11</v>
      </c>
      <c r="J184" s="22">
        <v>0</v>
      </c>
      <c r="K184" s="21" t="s">
        <v>83</v>
      </c>
      <c r="L184" s="21" t="s">
        <v>3</v>
      </c>
      <c r="M184" s="23">
        <f>73520370</f>
        <v>73520370</v>
      </c>
      <c r="N184" s="23" t="s">
        <v>867</v>
      </c>
      <c r="O184" s="86" t="s">
        <v>8</v>
      </c>
      <c r="P184" s="509">
        <v>201891000290</v>
      </c>
      <c r="Q184" s="86" t="s">
        <v>949</v>
      </c>
      <c r="R184" s="45">
        <v>73520370</v>
      </c>
      <c r="S184" s="86" t="s">
        <v>67</v>
      </c>
      <c r="T184" s="21" t="s">
        <v>66</v>
      </c>
      <c r="U184" s="23">
        <v>0</v>
      </c>
      <c r="V184" s="21" t="s">
        <v>67</v>
      </c>
      <c r="W184" s="21" t="s">
        <v>68</v>
      </c>
      <c r="X184" s="21" t="s">
        <v>69</v>
      </c>
      <c r="Y184" s="26">
        <v>3422121</v>
      </c>
      <c r="Z184" s="27" t="s">
        <v>70</v>
      </c>
      <c r="AA184" s="13" t="s">
        <v>67</v>
      </c>
      <c r="AB184" s="13"/>
      <c r="AC184" s="171"/>
      <c r="AD184" s="23"/>
      <c r="AE184" s="23">
        <v>14704074</v>
      </c>
      <c r="AF184" s="23">
        <v>58816296</v>
      </c>
      <c r="AG184" s="21" t="s">
        <v>1098</v>
      </c>
      <c r="AH184" s="21">
        <v>15</v>
      </c>
    </row>
    <row r="185" spans="1:34" ht="24.95" customHeight="1" x14ac:dyDescent="0.25">
      <c r="A185" s="26">
        <v>86121700</v>
      </c>
      <c r="B185" s="36" t="s">
        <v>58</v>
      </c>
      <c r="C185" s="36" t="s">
        <v>59</v>
      </c>
      <c r="D185" s="36" t="s">
        <v>60</v>
      </c>
      <c r="E185" s="21" t="s">
        <v>72</v>
      </c>
      <c r="F185" s="21" t="s">
        <v>1110</v>
      </c>
      <c r="G185" s="26">
        <v>2</v>
      </c>
      <c r="H185" s="22">
        <v>2</v>
      </c>
      <c r="I185" s="22">
        <v>8</v>
      </c>
      <c r="J185" s="22">
        <v>0</v>
      </c>
      <c r="K185" s="21" t="s">
        <v>83</v>
      </c>
      <c r="L185" s="21" t="s">
        <v>3</v>
      </c>
      <c r="M185" s="23">
        <v>15432696</v>
      </c>
      <c r="N185" s="23" t="s">
        <v>867</v>
      </c>
      <c r="O185" s="86" t="s">
        <v>8</v>
      </c>
      <c r="P185" s="509">
        <v>201891000290</v>
      </c>
      <c r="Q185" s="86" t="s">
        <v>949</v>
      </c>
      <c r="R185" s="45">
        <v>15432696</v>
      </c>
      <c r="S185" s="86" t="s">
        <v>67</v>
      </c>
      <c r="T185" s="21" t="s">
        <v>66</v>
      </c>
      <c r="U185" s="23">
        <v>0</v>
      </c>
      <c r="V185" s="21" t="s">
        <v>67</v>
      </c>
      <c r="W185" s="21" t="s">
        <v>68</v>
      </c>
      <c r="X185" s="21" t="s">
        <v>69</v>
      </c>
      <c r="Y185" s="26">
        <v>3422121</v>
      </c>
      <c r="Z185" s="27" t="s">
        <v>70</v>
      </c>
      <c r="AA185" s="13" t="s">
        <v>67</v>
      </c>
      <c r="AB185" s="13"/>
      <c r="AC185" s="171"/>
      <c r="AD185" s="23">
        <v>15432696</v>
      </c>
      <c r="AE185" s="23"/>
      <c r="AF185" s="23"/>
      <c r="AG185" s="21" t="s">
        <v>1098</v>
      </c>
      <c r="AH185" s="21">
        <v>45</v>
      </c>
    </row>
    <row r="186" spans="1:34" ht="24.95" customHeight="1" x14ac:dyDescent="0.25">
      <c r="A186" s="128">
        <v>86101599</v>
      </c>
      <c r="B186" s="294" t="s">
        <v>58</v>
      </c>
      <c r="C186" s="294" t="s">
        <v>59</v>
      </c>
      <c r="D186" s="294" t="s">
        <v>60</v>
      </c>
      <c r="E186" s="69" t="s">
        <v>72</v>
      </c>
      <c r="F186" s="69" t="s">
        <v>1111</v>
      </c>
      <c r="G186" s="128">
        <v>7</v>
      </c>
      <c r="H186" s="129">
        <v>4</v>
      </c>
      <c r="I186" s="129">
        <v>4</v>
      </c>
      <c r="J186" s="129">
        <v>0</v>
      </c>
      <c r="K186" s="69" t="s">
        <v>83</v>
      </c>
      <c r="L186" s="115" t="s">
        <v>67</v>
      </c>
      <c r="M186" s="119">
        <f>6728177-6728177</f>
        <v>0</v>
      </c>
      <c r="N186" s="119"/>
      <c r="O186" s="119"/>
      <c r="P186" s="119"/>
      <c r="Q186" s="143"/>
      <c r="R186" s="119">
        <v>6728177</v>
      </c>
      <c r="S186" s="143"/>
      <c r="T186" s="69" t="s">
        <v>66</v>
      </c>
      <c r="U186" s="119">
        <v>0</v>
      </c>
      <c r="V186" s="69" t="s">
        <v>67</v>
      </c>
      <c r="W186" s="69" t="s">
        <v>68</v>
      </c>
      <c r="X186" s="69" t="s">
        <v>69</v>
      </c>
      <c r="Y186" s="128">
        <v>3422121</v>
      </c>
      <c r="Z186" s="130" t="s">
        <v>70</v>
      </c>
      <c r="AA186" s="70" t="s">
        <v>67</v>
      </c>
      <c r="AB186" s="70"/>
      <c r="AC186" s="170"/>
      <c r="AD186" s="119">
        <v>6728177</v>
      </c>
      <c r="AE186" s="119"/>
      <c r="AF186" s="119"/>
      <c r="AG186" s="69" t="s">
        <v>1098</v>
      </c>
      <c r="AH186" s="69">
        <v>10</v>
      </c>
    </row>
    <row r="187" spans="1:34" ht="24.95" customHeight="1" x14ac:dyDescent="0.25">
      <c r="A187" s="26">
        <v>86101600</v>
      </c>
      <c r="B187" s="36" t="s">
        <v>58</v>
      </c>
      <c r="C187" s="36" t="s">
        <v>59</v>
      </c>
      <c r="D187" s="36" t="s">
        <v>60</v>
      </c>
      <c r="E187" s="21" t="s">
        <v>72</v>
      </c>
      <c r="F187" s="21" t="s">
        <v>1112</v>
      </c>
      <c r="G187" s="26">
        <v>6</v>
      </c>
      <c r="H187" s="22">
        <v>4</v>
      </c>
      <c r="I187" s="22">
        <v>2</v>
      </c>
      <c r="J187" s="22">
        <v>0</v>
      </c>
      <c r="K187" s="21" t="s">
        <v>83</v>
      </c>
      <c r="L187" s="21" t="s">
        <v>3</v>
      </c>
      <c r="M187" s="23">
        <v>9658311</v>
      </c>
      <c r="N187" s="23" t="s">
        <v>867</v>
      </c>
      <c r="O187" s="86" t="s">
        <v>8</v>
      </c>
      <c r="P187" s="509">
        <v>201891000290</v>
      </c>
      <c r="Q187" s="86" t="s">
        <v>949</v>
      </c>
      <c r="R187" s="45">
        <v>9658311</v>
      </c>
      <c r="S187" s="86"/>
      <c r="T187" s="21" t="s">
        <v>66</v>
      </c>
      <c r="U187" s="23">
        <v>0</v>
      </c>
      <c r="V187" s="21" t="s">
        <v>67</v>
      </c>
      <c r="W187" s="21" t="s">
        <v>68</v>
      </c>
      <c r="X187" s="21" t="s">
        <v>69</v>
      </c>
      <c r="Y187" s="26">
        <v>3422121</v>
      </c>
      <c r="Z187" s="27" t="s">
        <v>70</v>
      </c>
      <c r="AA187" s="13" t="s">
        <v>67</v>
      </c>
      <c r="AB187" s="13"/>
      <c r="AC187" s="171"/>
      <c r="AD187" s="23"/>
      <c r="AE187" s="23"/>
      <c r="AF187" s="23">
        <v>9658311</v>
      </c>
      <c r="AG187" s="21"/>
      <c r="AH187" s="21"/>
    </row>
    <row r="188" spans="1:34" ht="24.95" customHeight="1" x14ac:dyDescent="0.25">
      <c r="A188" s="26">
        <v>86101600</v>
      </c>
      <c r="B188" s="36" t="s">
        <v>58</v>
      </c>
      <c r="C188" s="36" t="s">
        <v>59</v>
      </c>
      <c r="D188" s="36" t="s">
        <v>60</v>
      </c>
      <c r="E188" s="21" t="s">
        <v>72</v>
      </c>
      <c r="F188" s="21" t="s">
        <v>238</v>
      </c>
      <c r="G188" s="26">
        <v>6</v>
      </c>
      <c r="H188" s="22">
        <v>6</v>
      </c>
      <c r="I188" s="22">
        <v>0</v>
      </c>
      <c r="J188" s="22">
        <v>0</v>
      </c>
      <c r="K188" s="21" t="s">
        <v>83</v>
      </c>
      <c r="L188" s="21" t="s">
        <v>3</v>
      </c>
      <c r="M188" s="23">
        <v>7007800</v>
      </c>
      <c r="N188" s="23" t="s">
        <v>867</v>
      </c>
      <c r="O188" s="86" t="s">
        <v>8</v>
      </c>
      <c r="P188" s="509">
        <v>201891000290</v>
      </c>
      <c r="Q188" s="86" t="s">
        <v>949</v>
      </c>
      <c r="R188" s="45">
        <v>0</v>
      </c>
      <c r="S188" s="86" t="s">
        <v>67</v>
      </c>
      <c r="T188" s="21" t="s">
        <v>66</v>
      </c>
      <c r="U188" s="23">
        <v>0</v>
      </c>
      <c r="V188" s="21" t="s">
        <v>67</v>
      </c>
      <c r="W188" s="21" t="s">
        <v>68</v>
      </c>
      <c r="X188" s="21" t="s">
        <v>69</v>
      </c>
      <c r="Y188" s="26">
        <v>3422121</v>
      </c>
      <c r="Z188" s="27" t="s">
        <v>70</v>
      </c>
      <c r="AA188" s="13" t="s">
        <v>67</v>
      </c>
      <c r="AB188" s="13"/>
      <c r="AC188" s="171"/>
      <c r="AD188" s="23"/>
      <c r="AE188" s="23"/>
      <c r="AF188" s="23">
        <v>7007800</v>
      </c>
      <c r="AG188" s="21"/>
      <c r="AH188" s="21"/>
    </row>
    <row r="189" spans="1:34" ht="24.95" customHeight="1" x14ac:dyDescent="0.25">
      <c r="A189" s="26">
        <v>86101600</v>
      </c>
      <c r="B189" s="36" t="s">
        <v>58</v>
      </c>
      <c r="C189" s="36" t="s">
        <v>59</v>
      </c>
      <c r="D189" s="36" t="s">
        <v>60</v>
      </c>
      <c r="E189" s="21" t="s">
        <v>72</v>
      </c>
      <c r="F189" s="21" t="s">
        <v>73</v>
      </c>
      <c r="G189" s="26">
        <v>2</v>
      </c>
      <c r="H189" s="22">
        <v>2</v>
      </c>
      <c r="I189" s="22">
        <v>10</v>
      </c>
      <c r="J189" s="22">
        <v>0</v>
      </c>
      <c r="K189" s="21" t="s">
        <v>63</v>
      </c>
      <c r="L189" s="21" t="s">
        <v>3</v>
      </c>
      <c r="M189" s="23">
        <v>4542630</v>
      </c>
      <c r="N189" s="23" t="s">
        <v>867</v>
      </c>
      <c r="O189" s="86" t="s">
        <v>8</v>
      </c>
      <c r="P189" s="509">
        <v>201891000290</v>
      </c>
      <c r="Q189" s="86" t="s">
        <v>949</v>
      </c>
      <c r="R189" s="45">
        <v>0</v>
      </c>
      <c r="S189" s="86" t="s">
        <v>63</v>
      </c>
      <c r="T189" s="21" t="s">
        <v>66</v>
      </c>
      <c r="U189" s="23">
        <v>0</v>
      </c>
      <c r="V189" s="21" t="s">
        <v>67</v>
      </c>
      <c r="W189" s="21" t="s">
        <v>68</v>
      </c>
      <c r="X189" s="21" t="s">
        <v>69</v>
      </c>
      <c r="Y189" s="26">
        <v>3422121</v>
      </c>
      <c r="Z189" s="27" t="s">
        <v>70</v>
      </c>
      <c r="AA189" s="13" t="s">
        <v>67</v>
      </c>
      <c r="AB189" s="13"/>
      <c r="AC189" s="171"/>
      <c r="AD189" s="23"/>
      <c r="AE189" s="23"/>
      <c r="AF189" s="23">
        <v>4542630</v>
      </c>
      <c r="AG189" s="21"/>
      <c r="AH189" s="21"/>
    </row>
    <row r="190" spans="1:34" ht="24.95" customHeight="1" x14ac:dyDescent="0.25">
      <c r="A190" s="26">
        <v>0</v>
      </c>
      <c r="B190" s="36" t="s">
        <v>58</v>
      </c>
      <c r="C190" s="36" t="s">
        <v>59</v>
      </c>
      <c r="D190" s="36" t="s">
        <v>60</v>
      </c>
      <c r="E190" s="21" t="s">
        <v>72</v>
      </c>
      <c r="F190" s="21" t="s">
        <v>1113</v>
      </c>
      <c r="G190" s="26">
        <v>5</v>
      </c>
      <c r="H190" s="22">
        <v>5</v>
      </c>
      <c r="I190" s="22">
        <v>1</v>
      </c>
      <c r="J190" s="22">
        <v>0</v>
      </c>
      <c r="K190" s="21" t="s">
        <v>63</v>
      </c>
      <c r="L190" s="115" t="s">
        <v>67</v>
      </c>
      <c r="M190" s="23">
        <v>0</v>
      </c>
      <c r="N190" s="23"/>
      <c r="O190" s="23"/>
      <c r="P190" s="23"/>
      <c r="Q190" s="86"/>
      <c r="R190" s="45">
        <v>2400000</v>
      </c>
      <c r="S190" s="86" t="s">
        <v>67</v>
      </c>
      <c r="T190" s="21" t="s">
        <v>66</v>
      </c>
      <c r="U190" s="23">
        <v>0</v>
      </c>
      <c r="V190" s="21" t="s">
        <v>67</v>
      </c>
      <c r="W190" s="21" t="s">
        <v>68</v>
      </c>
      <c r="X190" s="21" t="s">
        <v>69</v>
      </c>
      <c r="Y190" s="26">
        <v>3422121</v>
      </c>
      <c r="Z190" s="27" t="s">
        <v>70</v>
      </c>
      <c r="AA190" s="13" t="s">
        <v>67</v>
      </c>
      <c r="AB190" s="13"/>
      <c r="AC190" s="171"/>
      <c r="AD190" s="23"/>
      <c r="AE190" s="23"/>
      <c r="AF190" s="23"/>
      <c r="AG190" s="21"/>
      <c r="AH190" s="21"/>
    </row>
    <row r="191" spans="1:34" ht="24.95" customHeight="1" x14ac:dyDescent="0.25">
      <c r="A191" s="26">
        <v>0</v>
      </c>
      <c r="B191" s="36" t="s">
        <v>58</v>
      </c>
      <c r="C191" s="36" t="s">
        <v>59</v>
      </c>
      <c r="D191" s="36" t="s">
        <v>60</v>
      </c>
      <c r="E191" s="21" t="s">
        <v>72</v>
      </c>
      <c r="F191" s="21" t="s">
        <v>1114</v>
      </c>
      <c r="G191" s="26">
        <v>2</v>
      </c>
      <c r="H191" s="22">
        <v>2</v>
      </c>
      <c r="I191" s="22">
        <v>3</v>
      </c>
      <c r="J191" s="22">
        <v>0</v>
      </c>
      <c r="K191" s="21" t="s">
        <v>83</v>
      </c>
      <c r="L191" s="115" t="s">
        <v>67</v>
      </c>
      <c r="M191" s="23">
        <v>0</v>
      </c>
      <c r="N191" s="23"/>
      <c r="O191" s="23"/>
      <c r="P191" s="23"/>
      <c r="Q191" s="86"/>
      <c r="R191" s="45">
        <v>6180000</v>
      </c>
      <c r="S191" s="86" t="s">
        <v>67</v>
      </c>
      <c r="T191" s="21" t="s">
        <v>66</v>
      </c>
      <c r="U191" s="23">
        <v>0</v>
      </c>
      <c r="V191" s="21" t="s">
        <v>67</v>
      </c>
      <c r="W191" s="21" t="s">
        <v>68</v>
      </c>
      <c r="X191" s="21" t="s">
        <v>69</v>
      </c>
      <c r="Y191" s="26">
        <v>3422121</v>
      </c>
      <c r="Z191" s="27" t="s">
        <v>70</v>
      </c>
      <c r="AA191" s="13" t="s">
        <v>67</v>
      </c>
      <c r="AB191" s="13"/>
      <c r="AC191" s="171"/>
      <c r="AD191" s="23"/>
      <c r="AE191" s="23"/>
      <c r="AF191" s="23"/>
      <c r="AG191" s="21"/>
      <c r="AH191" s="21"/>
    </row>
    <row r="192" spans="1:34" ht="24.95" customHeight="1" x14ac:dyDescent="0.25">
      <c r="A192" s="26">
        <v>0</v>
      </c>
      <c r="B192" s="36" t="s">
        <v>58</v>
      </c>
      <c r="C192" s="36" t="s">
        <v>59</v>
      </c>
      <c r="D192" s="36" t="s">
        <v>60</v>
      </c>
      <c r="E192" s="21" t="s">
        <v>72</v>
      </c>
      <c r="F192" s="21" t="s">
        <v>1115</v>
      </c>
      <c r="G192" s="26">
        <v>5</v>
      </c>
      <c r="H192" s="22">
        <v>5</v>
      </c>
      <c r="I192" s="22">
        <v>1</v>
      </c>
      <c r="J192" s="22">
        <v>0</v>
      </c>
      <c r="K192" s="21" t="s">
        <v>63</v>
      </c>
      <c r="L192" s="115" t="s">
        <v>67</v>
      </c>
      <c r="M192" s="23">
        <v>0</v>
      </c>
      <c r="N192" s="23"/>
      <c r="O192" s="23"/>
      <c r="P192" s="23"/>
      <c r="Q192" s="86"/>
      <c r="R192" s="45">
        <v>400000</v>
      </c>
      <c r="S192" s="86" t="s">
        <v>67</v>
      </c>
      <c r="T192" s="21" t="s">
        <v>66</v>
      </c>
      <c r="U192" s="23">
        <v>0</v>
      </c>
      <c r="V192" s="21" t="s">
        <v>67</v>
      </c>
      <c r="W192" s="21" t="s">
        <v>68</v>
      </c>
      <c r="X192" s="21" t="s">
        <v>69</v>
      </c>
      <c r="Y192" s="26">
        <v>3422121</v>
      </c>
      <c r="Z192" s="27" t="s">
        <v>70</v>
      </c>
      <c r="AA192" s="13" t="s">
        <v>67</v>
      </c>
      <c r="AB192" s="13"/>
      <c r="AC192" s="171"/>
      <c r="AD192" s="23"/>
      <c r="AE192" s="23"/>
      <c r="AF192" s="23"/>
      <c r="AG192" s="21"/>
      <c r="AH192" s="21"/>
    </row>
    <row r="193" spans="1:34" ht="24.95" customHeight="1" x14ac:dyDescent="0.25">
      <c r="A193" s="26">
        <v>0</v>
      </c>
      <c r="B193" s="36" t="s">
        <v>58</v>
      </c>
      <c r="C193" s="36" t="s">
        <v>59</v>
      </c>
      <c r="D193" s="36" t="s">
        <v>60</v>
      </c>
      <c r="E193" s="21" t="s">
        <v>72</v>
      </c>
      <c r="F193" s="21" t="s">
        <v>1116</v>
      </c>
      <c r="G193" s="26">
        <v>2</v>
      </c>
      <c r="H193" s="22">
        <v>2</v>
      </c>
      <c r="I193" s="22">
        <v>1</v>
      </c>
      <c r="J193" s="22">
        <v>0</v>
      </c>
      <c r="K193" s="21" t="s">
        <v>83</v>
      </c>
      <c r="L193" s="115" t="s">
        <v>67</v>
      </c>
      <c r="M193" s="23">
        <v>0</v>
      </c>
      <c r="N193" s="23"/>
      <c r="O193" s="23"/>
      <c r="P193" s="23"/>
      <c r="Q193" s="86"/>
      <c r="R193" s="45">
        <v>1000000</v>
      </c>
      <c r="S193" s="86" t="s">
        <v>67</v>
      </c>
      <c r="T193" s="21" t="s">
        <v>66</v>
      </c>
      <c r="U193" s="23">
        <v>0</v>
      </c>
      <c r="V193" s="21" t="s">
        <v>67</v>
      </c>
      <c r="W193" s="21" t="s">
        <v>68</v>
      </c>
      <c r="X193" s="21" t="s">
        <v>69</v>
      </c>
      <c r="Y193" s="26">
        <v>3422121</v>
      </c>
      <c r="Z193" s="27" t="s">
        <v>70</v>
      </c>
      <c r="AA193" s="13" t="s">
        <v>67</v>
      </c>
      <c r="AB193" s="13"/>
      <c r="AC193" s="171"/>
      <c r="AD193" s="23"/>
      <c r="AE193" s="23"/>
      <c r="AF193" s="23"/>
      <c r="AG193" s="21"/>
      <c r="AH193" s="21"/>
    </row>
    <row r="194" spans="1:34" ht="24.95" customHeight="1" x14ac:dyDescent="0.25">
      <c r="A194" s="26">
        <v>86101600</v>
      </c>
      <c r="B194" s="36" t="s">
        <v>58</v>
      </c>
      <c r="C194" s="36" t="s">
        <v>59</v>
      </c>
      <c r="D194" s="36" t="s">
        <v>60</v>
      </c>
      <c r="E194" s="21" t="s">
        <v>74</v>
      </c>
      <c r="F194" s="21" t="s">
        <v>240</v>
      </c>
      <c r="G194" s="26">
        <v>1</v>
      </c>
      <c r="H194" s="22">
        <v>11</v>
      </c>
      <c r="I194" s="22">
        <v>11</v>
      </c>
      <c r="J194" s="22">
        <v>0</v>
      </c>
      <c r="K194" s="21" t="s">
        <v>83</v>
      </c>
      <c r="L194" s="21" t="s">
        <v>3</v>
      </c>
      <c r="M194" s="23">
        <f>73870467+14774093</f>
        <v>88644560</v>
      </c>
      <c r="N194" s="23" t="s">
        <v>867</v>
      </c>
      <c r="O194" s="86" t="s">
        <v>8</v>
      </c>
      <c r="P194" s="509">
        <v>201891000290</v>
      </c>
      <c r="Q194" s="86" t="s">
        <v>949</v>
      </c>
      <c r="R194" s="45">
        <v>73870467</v>
      </c>
      <c r="S194" s="86" t="s">
        <v>67</v>
      </c>
      <c r="T194" s="21" t="s">
        <v>66</v>
      </c>
      <c r="U194" s="23">
        <v>0</v>
      </c>
      <c r="V194" s="21" t="s">
        <v>67</v>
      </c>
      <c r="W194" s="21" t="s">
        <v>68</v>
      </c>
      <c r="X194" s="21" t="s">
        <v>69</v>
      </c>
      <c r="Y194" s="26">
        <v>3422121</v>
      </c>
      <c r="Z194" s="27" t="s">
        <v>70</v>
      </c>
      <c r="AA194" s="13" t="s">
        <v>67</v>
      </c>
      <c r="AB194" s="13"/>
      <c r="AC194" s="171"/>
      <c r="AD194" s="23"/>
      <c r="AE194" s="23">
        <f>73870467*20%</f>
        <v>14774093.4</v>
      </c>
      <c r="AF194" s="23">
        <v>73870467</v>
      </c>
      <c r="AG194" s="21"/>
      <c r="AH194" s="21"/>
    </row>
    <row r="195" spans="1:34" ht="24.95" customHeight="1" x14ac:dyDescent="0.25">
      <c r="A195" s="26">
        <v>86101600</v>
      </c>
      <c r="B195" s="36" t="s">
        <v>58</v>
      </c>
      <c r="C195" s="36" t="s">
        <v>59</v>
      </c>
      <c r="D195" s="36" t="s">
        <v>60</v>
      </c>
      <c r="E195" s="21" t="s">
        <v>74</v>
      </c>
      <c r="F195" s="21" t="s">
        <v>241</v>
      </c>
      <c r="G195" s="26">
        <v>1</v>
      </c>
      <c r="H195" s="22">
        <v>10</v>
      </c>
      <c r="I195" s="22">
        <v>10</v>
      </c>
      <c r="J195" s="22">
        <v>15</v>
      </c>
      <c r="K195" s="21" t="s">
        <v>83</v>
      </c>
      <c r="L195" s="21" t="s">
        <v>3</v>
      </c>
      <c r="M195" s="23">
        <v>52633371</v>
      </c>
      <c r="N195" s="23" t="s">
        <v>867</v>
      </c>
      <c r="O195" s="86" t="s">
        <v>8</v>
      </c>
      <c r="P195" s="509">
        <v>201891000290</v>
      </c>
      <c r="Q195" s="86" t="s">
        <v>949</v>
      </c>
      <c r="R195" s="45">
        <v>52633371</v>
      </c>
      <c r="S195" s="86" t="s">
        <v>67</v>
      </c>
      <c r="T195" s="21" t="s">
        <v>66</v>
      </c>
      <c r="U195" s="23">
        <v>0</v>
      </c>
      <c r="V195" s="21" t="s">
        <v>67</v>
      </c>
      <c r="W195" s="21" t="s">
        <v>68</v>
      </c>
      <c r="X195" s="21" t="s">
        <v>69</v>
      </c>
      <c r="Y195" s="26">
        <v>3422121</v>
      </c>
      <c r="Z195" s="27" t="s">
        <v>70</v>
      </c>
      <c r="AA195" s="13" t="s">
        <v>67</v>
      </c>
      <c r="AB195" s="13"/>
      <c r="AC195" s="171"/>
      <c r="AD195" s="23"/>
      <c r="AE195" s="23">
        <v>21053348</v>
      </c>
      <c r="AF195" s="23">
        <v>31580022</v>
      </c>
      <c r="AG195" s="21"/>
      <c r="AH195" s="21"/>
    </row>
    <row r="196" spans="1:34" ht="24.95" customHeight="1" x14ac:dyDescent="0.25">
      <c r="A196" s="26">
        <v>86101600</v>
      </c>
      <c r="B196" s="36" t="s">
        <v>58</v>
      </c>
      <c r="C196" s="36" t="s">
        <v>59</v>
      </c>
      <c r="D196" s="36" t="s">
        <v>60</v>
      </c>
      <c r="E196" s="21" t="s">
        <v>74</v>
      </c>
      <c r="F196" s="21" t="s">
        <v>241</v>
      </c>
      <c r="G196" s="26">
        <v>1</v>
      </c>
      <c r="H196" s="22">
        <v>10</v>
      </c>
      <c r="I196" s="22">
        <v>10</v>
      </c>
      <c r="J196" s="22">
        <v>15</v>
      </c>
      <c r="K196" s="21" t="s">
        <v>83</v>
      </c>
      <c r="L196" s="21" t="s">
        <v>3</v>
      </c>
      <c r="M196" s="23">
        <v>52633371</v>
      </c>
      <c r="N196" s="23" t="s">
        <v>867</v>
      </c>
      <c r="O196" s="86" t="s">
        <v>8</v>
      </c>
      <c r="P196" s="509">
        <v>201891000290</v>
      </c>
      <c r="Q196" s="86" t="s">
        <v>949</v>
      </c>
      <c r="R196" s="45">
        <v>52633371</v>
      </c>
      <c r="S196" s="86" t="s">
        <v>67</v>
      </c>
      <c r="T196" s="21" t="s">
        <v>66</v>
      </c>
      <c r="U196" s="23">
        <v>0</v>
      </c>
      <c r="V196" s="21" t="s">
        <v>67</v>
      </c>
      <c r="W196" s="21" t="s">
        <v>68</v>
      </c>
      <c r="X196" s="21" t="s">
        <v>69</v>
      </c>
      <c r="Y196" s="26">
        <v>3422121</v>
      </c>
      <c r="Z196" s="27" t="s">
        <v>70</v>
      </c>
      <c r="AA196" s="13" t="s">
        <v>67</v>
      </c>
      <c r="AB196" s="13"/>
      <c r="AC196" s="171"/>
      <c r="AD196" s="23"/>
      <c r="AE196" s="23">
        <v>21053348</v>
      </c>
      <c r="AF196" s="23">
        <v>31580022</v>
      </c>
      <c r="AG196" s="21"/>
      <c r="AH196" s="21"/>
    </row>
    <row r="197" spans="1:34" ht="24.95" customHeight="1" x14ac:dyDescent="0.25">
      <c r="A197" s="26">
        <v>86101600</v>
      </c>
      <c r="B197" s="36" t="s">
        <v>58</v>
      </c>
      <c r="C197" s="36" t="s">
        <v>59</v>
      </c>
      <c r="D197" s="36" t="s">
        <v>60</v>
      </c>
      <c r="E197" s="21" t="s">
        <v>74</v>
      </c>
      <c r="F197" s="21" t="s">
        <v>241</v>
      </c>
      <c r="G197" s="26">
        <v>1</v>
      </c>
      <c r="H197" s="22">
        <v>10</v>
      </c>
      <c r="I197" s="22">
        <v>10</v>
      </c>
      <c r="J197" s="22">
        <v>15</v>
      </c>
      <c r="K197" s="21" t="s">
        <v>83</v>
      </c>
      <c r="L197" s="21" t="s">
        <v>3</v>
      </c>
      <c r="M197" s="23">
        <v>52633371</v>
      </c>
      <c r="N197" s="23" t="s">
        <v>867</v>
      </c>
      <c r="O197" s="86" t="s">
        <v>8</v>
      </c>
      <c r="P197" s="509">
        <v>201891000290</v>
      </c>
      <c r="Q197" s="86" t="s">
        <v>949</v>
      </c>
      <c r="R197" s="45">
        <v>46785690</v>
      </c>
      <c r="S197" s="86" t="s">
        <v>67</v>
      </c>
      <c r="T197" s="21" t="s">
        <v>66</v>
      </c>
      <c r="U197" s="23">
        <v>0</v>
      </c>
      <c r="V197" s="21" t="s">
        <v>67</v>
      </c>
      <c r="W197" s="21" t="s">
        <v>68</v>
      </c>
      <c r="X197" s="21" t="s">
        <v>69</v>
      </c>
      <c r="Y197" s="26">
        <v>3422121</v>
      </c>
      <c r="Z197" s="27" t="s">
        <v>70</v>
      </c>
      <c r="AA197" s="13" t="s">
        <v>67</v>
      </c>
      <c r="AB197" s="13"/>
      <c r="AC197" s="171"/>
      <c r="AD197" s="23"/>
      <c r="AE197" s="23">
        <v>21053348</v>
      </c>
      <c r="AF197" s="23">
        <v>31580022</v>
      </c>
      <c r="AG197" s="21"/>
      <c r="AH197" s="21"/>
    </row>
    <row r="198" spans="1:34" ht="24.95" customHeight="1" x14ac:dyDescent="0.25">
      <c r="A198" s="26">
        <v>86101600</v>
      </c>
      <c r="B198" s="36" t="s">
        <v>58</v>
      </c>
      <c r="C198" s="36" t="s">
        <v>59</v>
      </c>
      <c r="D198" s="36" t="s">
        <v>60</v>
      </c>
      <c r="E198" s="21" t="s">
        <v>74</v>
      </c>
      <c r="F198" s="21" t="s">
        <v>75</v>
      </c>
      <c r="G198" s="26">
        <v>2</v>
      </c>
      <c r="H198" s="22">
        <v>5</v>
      </c>
      <c r="I198" s="22">
        <v>4</v>
      </c>
      <c r="J198" s="22">
        <v>0</v>
      </c>
      <c r="K198" s="21" t="s">
        <v>63</v>
      </c>
      <c r="L198" s="21" t="s">
        <v>3</v>
      </c>
      <c r="M198" s="23">
        <v>6822159.6799999997</v>
      </c>
      <c r="N198" s="23" t="s">
        <v>867</v>
      </c>
      <c r="O198" s="86" t="s">
        <v>8</v>
      </c>
      <c r="P198" s="509">
        <v>201891000290</v>
      </c>
      <c r="Q198" s="86" t="s">
        <v>949</v>
      </c>
      <c r="R198" s="45">
        <v>6822159.6800000006</v>
      </c>
      <c r="S198" s="86" t="s">
        <v>63</v>
      </c>
      <c r="T198" s="21" t="s">
        <v>66</v>
      </c>
      <c r="U198" s="23">
        <v>0</v>
      </c>
      <c r="V198" s="21" t="s">
        <v>67</v>
      </c>
      <c r="W198" s="21" t="s">
        <v>68</v>
      </c>
      <c r="X198" s="21" t="s">
        <v>69</v>
      </c>
      <c r="Y198" s="26">
        <v>3422121</v>
      </c>
      <c r="Z198" s="27" t="s">
        <v>70</v>
      </c>
      <c r="AA198" s="13" t="s">
        <v>67</v>
      </c>
      <c r="AB198" s="13"/>
      <c r="AC198" s="171"/>
      <c r="AD198" s="23">
        <v>3411079.5</v>
      </c>
      <c r="AE198" s="23"/>
      <c r="AF198" s="23">
        <v>3411079.5</v>
      </c>
      <c r="AG198" s="21" t="s">
        <v>1098</v>
      </c>
      <c r="AH198" s="21">
        <v>10</v>
      </c>
    </row>
    <row r="199" spans="1:34" ht="24.95" customHeight="1" x14ac:dyDescent="0.25">
      <c r="A199" s="26">
        <v>86101600</v>
      </c>
      <c r="B199" s="36" t="s">
        <v>58</v>
      </c>
      <c r="C199" s="36" t="s">
        <v>59</v>
      </c>
      <c r="D199" s="36" t="s">
        <v>60</v>
      </c>
      <c r="E199" s="21" t="s">
        <v>74</v>
      </c>
      <c r="F199" s="21" t="s">
        <v>76</v>
      </c>
      <c r="G199" s="26">
        <v>8</v>
      </c>
      <c r="H199" s="22">
        <v>5</v>
      </c>
      <c r="I199" s="22">
        <v>4</v>
      </c>
      <c r="J199" s="22">
        <v>0</v>
      </c>
      <c r="K199" s="21" t="s">
        <v>63</v>
      </c>
      <c r="L199" s="21" t="s">
        <v>3</v>
      </c>
      <c r="M199" s="23">
        <v>6822159.6799999997</v>
      </c>
      <c r="N199" s="23" t="s">
        <v>867</v>
      </c>
      <c r="O199" s="86" t="s">
        <v>8</v>
      </c>
      <c r="P199" s="509">
        <v>201891000290</v>
      </c>
      <c r="Q199" s="86" t="s">
        <v>949</v>
      </c>
      <c r="R199" s="45">
        <v>6822159.6800000006</v>
      </c>
      <c r="S199" s="86" t="s">
        <v>63</v>
      </c>
      <c r="T199" s="21" t="s">
        <v>66</v>
      </c>
      <c r="U199" s="23">
        <v>0</v>
      </c>
      <c r="V199" s="21" t="s">
        <v>67</v>
      </c>
      <c r="W199" s="21" t="s">
        <v>68</v>
      </c>
      <c r="X199" s="21" t="s">
        <v>69</v>
      </c>
      <c r="Y199" s="26">
        <v>3422121</v>
      </c>
      <c r="Z199" s="27" t="s">
        <v>70</v>
      </c>
      <c r="AA199" s="13" t="s">
        <v>67</v>
      </c>
      <c r="AB199" s="13"/>
      <c r="AC199" s="171"/>
      <c r="AD199" s="23">
        <v>3411079.5</v>
      </c>
      <c r="AE199" s="23"/>
      <c r="AF199" s="23">
        <v>3411079.5</v>
      </c>
      <c r="AG199" s="21" t="s">
        <v>1098</v>
      </c>
      <c r="AH199" s="21">
        <v>10</v>
      </c>
    </row>
    <row r="200" spans="1:34" ht="24.95" customHeight="1" x14ac:dyDescent="0.25">
      <c r="A200" s="128">
        <v>86101600</v>
      </c>
      <c r="B200" s="294" t="s">
        <v>58</v>
      </c>
      <c r="C200" s="294" t="s">
        <v>59</v>
      </c>
      <c r="D200" s="294" t="s">
        <v>60</v>
      </c>
      <c r="E200" s="69" t="s">
        <v>74</v>
      </c>
      <c r="F200" s="69" t="s">
        <v>1117</v>
      </c>
      <c r="G200" s="128">
        <v>8</v>
      </c>
      <c r="H200" s="129">
        <v>1</v>
      </c>
      <c r="I200" s="129">
        <v>0</v>
      </c>
      <c r="J200" s="129">
        <v>0</v>
      </c>
      <c r="K200" s="69" t="s">
        <v>83</v>
      </c>
      <c r="L200" s="115" t="s">
        <v>67</v>
      </c>
      <c r="M200" s="119">
        <f>6822159.68-6822159.68</f>
        <v>0</v>
      </c>
      <c r="N200" s="119"/>
      <c r="O200" s="119"/>
      <c r="P200" s="119"/>
      <c r="Q200" s="143"/>
      <c r="R200" s="119">
        <v>6822159.6800000006</v>
      </c>
      <c r="S200" s="143" t="s">
        <v>67</v>
      </c>
      <c r="T200" s="69" t="s">
        <v>66</v>
      </c>
      <c r="U200" s="119">
        <v>0</v>
      </c>
      <c r="V200" s="69" t="s">
        <v>67</v>
      </c>
      <c r="W200" s="69" t="s">
        <v>68</v>
      </c>
      <c r="X200" s="69" t="s">
        <v>69</v>
      </c>
      <c r="Y200" s="128">
        <v>3422121</v>
      </c>
      <c r="Z200" s="130" t="s">
        <v>70</v>
      </c>
      <c r="AA200" s="70" t="s">
        <v>67</v>
      </c>
      <c r="AB200" s="70"/>
      <c r="AC200" s="170"/>
      <c r="AD200" s="119"/>
      <c r="AE200" s="119"/>
      <c r="AF200" s="119">
        <v>6822159</v>
      </c>
      <c r="AG200" s="69" t="s">
        <v>1098</v>
      </c>
      <c r="AH200" s="69">
        <v>10</v>
      </c>
    </row>
    <row r="201" spans="1:34" ht="24.95" customHeight="1" x14ac:dyDescent="0.25">
      <c r="A201" s="26">
        <v>86101600</v>
      </c>
      <c r="B201" s="36" t="s">
        <v>58</v>
      </c>
      <c r="C201" s="36" t="s">
        <v>59</v>
      </c>
      <c r="D201" s="36" t="s">
        <v>60</v>
      </c>
      <c r="E201" s="21" t="s">
        <v>74</v>
      </c>
      <c r="F201" s="21" t="s">
        <v>77</v>
      </c>
      <c r="G201" s="26">
        <v>2</v>
      </c>
      <c r="H201" s="22">
        <v>1</v>
      </c>
      <c r="I201" s="22">
        <v>0</v>
      </c>
      <c r="J201" s="22">
        <v>0</v>
      </c>
      <c r="K201" s="21" t="s">
        <v>63</v>
      </c>
      <c r="L201" s="21" t="s">
        <v>3</v>
      </c>
      <c r="M201" s="23">
        <v>1000000</v>
      </c>
      <c r="N201" s="86" t="s">
        <v>877</v>
      </c>
      <c r="O201" s="86" t="s">
        <v>5</v>
      </c>
      <c r="P201" s="509">
        <v>201891000290</v>
      </c>
      <c r="Q201" s="86" t="s">
        <v>949</v>
      </c>
      <c r="R201" s="45">
        <v>3000000</v>
      </c>
      <c r="S201" s="86" t="s">
        <v>63</v>
      </c>
      <c r="T201" s="21" t="s">
        <v>66</v>
      </c>
      <c r="U201" s="23">
        <v>0</v>
      </c>
      <c r="V201" s="21" t="s">
        <v>67</v>
      </c>
      <c r="W201" s="21" t="s">
        <v>68</v>
      </c>
      <c r="X201" s="21" t="s">
        <v>69</v>
      </c>
      <c r="Y201" s="26">
        <v>3422121</v>
      </c>
      <c r="Z201" s="27" t="s">
        <v>70</v>
      </c>
      <c r="AA201" s="13" t="s">
        <v>67</v>
      </c>
      <c r="AB201" s="13"/>
      <c r="AC201" s="171">
        <v>1000000</v>
      </c>
      <c r="AD201" s="23"/>
      <c r="AE201" s="23"/>
      <c r="AF201" s="23"/>
      <c r="AG201" s="21" t="s">
        <v>1118</v>
      </c>
      <c r="AH201" s="21"/>
    </row>
    <row r="202" spans="1:34" ht="24.95" customHeight="1" x14ac:dyDescent="0.25">
      <c r="A202" s="26">
        <v>86101600</v>
      </c>
      <c r="B202" s="36" t="s">
        <v>58</v>
      </c>
      <c r="C202" s="36" t="s">
        <v>59</v>
      </c>
      <c r="D202" s="36" t="s">
        <v>60</v>
      </c>
      <c r="E202" s="21" t="s">
        <v>74</v>
      </c>
      <c r="F202" s="21" t="s">
        <v>80</v>
      </c>
      <c r="G202" s="26">
        <v>2</v>
      </c>
      <c r="H202" s="22">
        <v>1</v>
      </c>
      <c r="I202" s="22">
        <v>0</v>
      </c>
      <c r="J202" s="22">
        <v>0</v>
      </c>
      <c r="K202" s="21" t="s">
        <v>63</v>
      </c>
      <c r="L202" s="21" t="s">
        <v>3</v>
      </c>
      <c r="M202" s="23">
        <v>1362789</v>
      </c>
      <c r="N202" s="23" t="s">
        <v>867</v>
      </c>
      <c r="O202" s="86" t="s">
        <v>8</v>
      </c>
      <c r="P202" s="509">
        <v>201891000290</v>
      </c>
      <c r="Q202" s="86" t="s">
        <v>949</v>
      </c>
      <c r="R202" s="45">
        <v>2712412</v>
      </c>
      <c r="S202" s="86" t="s">
        <v>63</v>
      </c>
      <c r="T202" s="21" t="s">
        <v>66</v>
      </c>
      <c r="U202" s="23">
        <v>0</v>
      </c>
      <c r="V202" s="21" t="s">
        <v>67</v>
      </c>
      <c r="W202" s="21" t="s">
        <v>68</v>
      </c>
      <c r="X202" s="21" t="s">
        <v>69</v>
      </c>
      <c r="Y202" s="26">
        <v>3422121</v>
      </c>
      <c r="Z202" s="27" t="s">
        <v>70</v>
      </c>
      <c r="AA202" s="13" t="s">
        <v>67</v>
      </c>
      <c r="AB202" s="13"/>
      <c r="AC202" s="171"/>
      <c r="AD202" s="23"/>
      <c r="AE202" s="23"/>
      <c r="AF202" s="23">
        <v>1362789</v>
      </c>
      <c r="AG202" s="21"/>
      <c r="AH202" s="21"/>
    </row>
    <row r="203" spans="1:34" ht="24.95" customHeight="1" x14ac:dyDescent="0.25">
      <c r="A203" s="26">
        <v>90121500</v>
      </c>
      <c r="B203" s="36" t="s">
        <v>58</v>
      </c>
      <c r="C203" s="36" t="s">
        <v>59</v>
      </c>
      <c r="D203" s="36" t="s">
        <v>60</v>
      </c>
      <c r="E203" s="21" t="s">
        <v>74</v>
      </c>
      <c r="F203" s="21" t="s">
        <v>81</v>
      </c>
      <c r="G203" s="26">
        <v>8</v>
      </c>
      <c r="H203" s="22">
        <v>1</v>
      </c>
      <c r="I203" s="22">
        <v>0</v>
      </c>
      <c r="J203" s="22">
        <v>0</v>
      </c>
      <c r="K203" s="21" t="s">
        <v>63</v>
      </c>
      <c r="L203" s="21" t="s">
        <v>3</v>
      </c>
      <c r="M203" s="23">
        <v>3634104</v>
      </c>
      <c r="N203" s="23" t="s">
        <v>867</v>
      </c>
      <c r="O203" s="86" t="s">
        <v>8</v>
      </c>
      <c r="P203" s="509">
        <v>201891000290</v>
      </c>
      <c r="Q203" s="86" t="s">
        <v>949</v>
      </c>
      <c r="R203" s="45">
        <v>3634104</v>
      </c>
      <c r="S203" s="86" t="s">
        <v>63</v>
      </c>
      <c r="T203" s="21" t="s">
        <v>66</v>
      </c>
      <c r="U203" s="23">
        <v>0</v>
      </c>
      <c r="V203" s="21" t="s">
        <v>67</v>
      </c>
      <c r="W203" s="21" t="s">
        <v>68</v>
      </c>
      <c r="X203" s="21" t="s">
        <v>69</v>
      </c>
      <c r="Y203" s="26">
        <v>3422121</v>
      </c>
      <c r="Z203" s="27" t="s">
        <v>70</v>
      </c>
      <c r="AA203" s="13" t="s">
        <v>67</v>
      </c>
      <c r="AB203" s="13"/>
      <c r="AC203" s="171"/>
      <c r="AD203" s="23"/>
      <c r="AE203" s="23"/>
      <c r="AF203" s="23">
        <v>3634104</v>
      </c>
      <c r="AG203" s="21"/>
      <c r="AH203" s="21"/>
    </row>
    <row r="204" spans="1:34" ht="24.95" customHeight="1" x14ac:dyDescent="0.25">
      <c r="A204" s="26">
        <v>86101600</v>
      </c>
      <c r="B204" s="36" t="s">
        <v>58</v>
      </c>
      <c r="C204" s="36" t="s">
        <v>59</v>
      </c>
      <c r="D204" s="36" t="s">
        <v>60</v>
      </c>
      <c r="E204" s="21" t="s">
        <v>74</v>
      </c>
      <c r="F204" s="21" t="s">
        <v>82</v>
      </c>
      <c r="G204" s="26">
        <v>9</v>
      </c>
      <c r="H204" s="22">
        <v>1</v>
      </c>
      <c r="I204" s="22">
        <v>0</v>
      </c>
      <c r="J204" s="22">
        <v>0</v>
      </c>
      <c r="K204" s="21" t="s">
        <v>83</v>
      </c>
      <c r="L204" s="21" t="s">
        <v>10</v>
      </c>
      <c r="M204" s="23">
        <v>6000000</v>
      </c>
      <c r="N204" s="86" t="s">
        <v>877</v>
      </c>
      <c r="O204" s="86" t="s">
        <v>5</v>
      </c>
      <c r="P204" s="509">
        <v>201891000290</v>
      </c>
      <c r="Q204" s="86" t="s">
        <v>949</v>
      </c>
      <c r="R204" s="45">
        <v>0</v>
      </c>
      <c r="S204" s="86" t="s">
        <v>63</v>
      </c>
      <c r="T204" s="21" t="s">
        <v>66</v>
      </c>
      <c r="U204" s="23">
        <v>0</v>
      </c>
      <c r="V204" s="21" t="s">
        <v>67</v>
      </c>
      <c r="W204" s="21" t="s">
        <v>68</v>
      </c>
      <c r="X204" s="21" t="s">
        <v>69</v>
      </c>
      <c r="Y204" s="26">
        <v>3422121</v>
      </c>
      <c r="Z204" s="27" t="s">
        <v>70</v>
      </c>
      <c r="AA204" s="13" t="s">
        <v>67</v>
      </c>
      <c r="AB204" s="13"/>
      <c r="AC204" s="171">
        <v>6000000</v>
      </c>
      <c r="AD204" s="23"/>
      <c r="AE204" s="23"/>
      <c r="AF204" s="23"/>
      <c r="AG204" s="21" t="s">
        <v>1119</v>
      </c>
      <c r="AH204" s="21"/>
    </row>
    <row r="205" spans="1:34" ht="24.95" customHeight="1" x14ac:dyDescent="0.25">
      <c r="A205" s="26">
        <v>86101600</v>
      </c>
      <c r="B205" s="36" t="s">
        <v>58</v>
      </c>
      <c r="C205" s="36" t="s">
        <v>59</v>
      </c>
      <c r="D205" s="36" t="s">
        <v>60</v>
      </c>
      <c r="E205" s="21" t="s">
        <v>84</v>
      </c>
      <c r="F205" s="21" t="s">
        <v>1120</v>
      </c>
      <c r="G205" s="26">
        <v>2</v>
      </c>
      <c r="H205" s="22">
        <v>10</v>
      </c>
      <c r="I205" s="22">
        <v>10</v>
      </c>
      <c r="J205" s="22">
        <v>15</v>
      </c>
      <c r="K205" s="21" t="s">
        <v>83</v>
      </c>
      <c r="L205" s="21" t="s">
        <v>3</v>
      </c>
      <c r="M205" s="23">
        <v>63336503</v>
      </c>
      <c r="N205" s="23" t="s">
        <v>867</v>
      </c>
      <c r="O205" s="86" t="s">
        <v>8</v>
      </c>
      <c r="P205" s="509">
        <v>201891000290</v>
      </c>
      <c r="Q205" s="86" t="s">
        <v>949</v>
      </c>
      <c r="R205" s="45">
        <v>63336503</v>
      </c>
      <c r="S205" s="86" t="s">
        <v>67</v>
      </c>
      <c r="T205" s="21" t="s">
        <v>66</v>
      </c>
      <c r="U205" s="23">
        <v>0</v>
      </c>
      <c r="V205" s="21" t="s">
        <v>67</v>
      </c>
      <c r="W205" s="21" t="s">
        <v>68</v>
      </c>
      <c r="X205" s="21" t="s">
        <v>69</v>
      </c>
      <c r="Y205" s="26">
        <v>3422121</v>
      </c>
      <c r="Z205" s="27" t="s">
        <v>70</v>
      </c>
      <c r="AA205" s="13" t="s">
        <v>67</v>
      </c>
      <c r="AB205" s="13"/>
      <c r="AC205" s="171"/>
      <c r="AD205" s="23"/>
      <c r="AE205" s="23">
        <f>63336503*40%</f>
        <v>25334601.200000003</v>
      </c>
      <c r="AF205" s="23">
        <f>63336503*60%</f>
        <v>38001901.799999997</v>
      </c>
      <c r="AG205" s="21"/>
      <c r="AH205" s="21"/>
    </row>
    <row r="206" spans="1:34" ht="24.95" customHeight="1" x14ac:dyDescent="0.25">
      <c r="A206" s="26">
        <v>86101600</v>
      </c>
      <c r="B206" s="36" t="s">
        <v>58</v>
      </c>
      <c r="C206" s="36" t="s">
        <v>59</v>
      </c>
      <c r="D206" s="36" t="s">
        <v>60</v>
      </c>
      <c r="E206" s="21" t="s">
        <v>84</v>
      </c>
      <c r="F206" s="21" t="s">
        <v>1121</v>
      </c>
      <c r="G206" s="26">
        <v>2</v>
      </c>
      <c r="H206" s="22">
        <v>10</v>
      </c>
      <c r="I206" s="22">
        <v>10</v>
      </c>
      <c r="J206" s="22">
        <v>15</v>
      </c>
      <c r="K206" s="21" t="s">
        <v>83</v>
      </c>
      <c r="L206" s="21" t="s">
        <v>3</v>
      </c>
      <c r="M206" s="23">
        <v>58482112</v>
      </c>
      <c r="N206" s="23" t="s">
        <v>867</v>
      </c>
      <c r="O206" s="86" t="s">
        <v>8</v>
      </c>
      <c r="P206" s="509">
        <v>201891000290</v>
      </c>
      <c r="Q206" s="86" t="s">
        <v>949</v>
      </c>
      <c r="R206" s="45">
        <v>61266975</v>
      </c>
      <c r="S206" s="86" t="s">
        <v>67</v>
      </c>
      <c r="T206" s="21" t="s">
        <v>66</v>
      </c>
      <c r="U206" s="23">
        <v>0</v>
      </c>
      <c r="V206" s="21" t="s">
        <v>67</v>
      </c>
      <c r="W206" s="21" t="s">
        <v>68</v>
      </c>
      <c r="X206" s="21" t="s">
        <v>69</v>
      </c>
      <c r="Y206" s="26">
        <v>3422121</v>
      </c>
      <c r="Z206" s="27" t="s">
        <v>70</v>
      </c>
      <c r="AA206" s="13" t="s">
        <v>67</v>
      </c>
      <c r="AB206" s="13"/>
      <c r="AC206" s="171"/>
      <c r="AD206" s="23"/>
      <c r="AE206" s="23">
        <f>58482112*40%</f>
        <v>23392844.800000001</v>
      </c>
      <c r="AF206" s="23">
        <f>58482112*60%</f>
        <v>35089267.199999996</v>
      </c>
      <c r="AG206" s="21"/>
      <c r="AH206" s="21"/>
    </row>
    <row r="207" spans="1:34" ht="24.95" customHeight="1" x14ac:dyDescent="0.25">
      <c r="A207" s="26">
        <v>86101600</v>
      </c>
      <c r="B207" s="36" t="s">
        <v>58</v>
      </c>
      <c r="C207" s="36" t="s">
        <v>59</v>
      </c>
      <c r="D207" s="36" t="s">
        <v>60</v>
      </c>
      <c r="E207" s="21" t="s">
        <v>84</v>
      </c>
      <c r="F207" s="21" t="s">
        <v>245</v>
      </c>
      <c r="G207" s="26">
        <v>2</v>
      </c>
      <c r="H207" s="22">
        <v>10</v>
      </c>
      <c r="I207" s="22">
        <v>10</v>
      </c>
      <c r="J207" s="22">
        <v>15</v>
      </c>
      <c r="K207" s="21" t="s">
        <v>83</v>
      </c>
      <c r="L207" s="21" t="s">
        <v>3</v>
      </c>
      <c r="M207" s="23">
        <v>52633901</v>
      </c>
      <c r="N207" s="23" t="s">
        <v>867</v>
      </c>
      <c r="O207" s="86" t="s">
        <v>8</v>
      </c>
      <c r="P207" s="509">
        <v>201891000290</v>
      </c>
      <c r="Q207" s="86" t="s">
        <v>949</v>
      </c>
      <c r="R207" s="45">
        <v>52633901</v>
      </c>
      <c r="S207" s="86" t="s">
        <v>67</v>
      </c>
      <c r="T207" s="21" t="s">
        <v>66</v>
      </c>
      <c r="U207" s="23">
        <v>0</v>
      </c>
      <c r="V207" s="21" t="s">
        <v>67</v>
      </c>
      <c r="W207" s="21" t="s">
        <v>68</v>
      </c>
      <c r="X207" s="21" t="s">
        <v>69</v>
      </c>
      <c r="Y207" s="26">
        <v>3422121</v>
      </c>
      <c r="Z207" s="27" t="s">
        <v>70</v>
      </c>
      <c r="AA207" s="13" t="s">
        <v>67</v>
      </c>
      <c r="AB207" s="13"/>
      <c r="AC207" s="171"/>
      <c r="AD207" s="23"/>
      <c r="AE207" s="23">
        <f>52633901*40%</f>
        <v>21053560.400000002</v>
      </c>
      <c r="AF207" s="23">
        <f>52633901*60%</f>
        <v>31580340.599999998</v>
      </c>
      <c r="AG207" s="21"/>
      <c r="AH207" s="21"/>
    </row>
    <row r="208" spans="1:34" ht="24.95" customHeight="1" x14ac:dyDescent="0.25">
      <c r="A208" s="26">
        <v>86101600</v>
      </c>
      <c r="B208" s="36" t="s">
        <v>58</v>
      </c>
      <c r="C208" s="36" t="s">
        <v>59</v>
      </c>
      <c r="D208" s="36" t="s">
        <v>60</v>
      </c>
      <c r="E208" s="21" t="s">
        <v>84</v>
      </c>
      <c r="F208" s="21" t="s">
        <v>1122</v>
      </c>
      <c r="G208" s="26">
        <v>2</v>
      </c>
      <c r="H208" s="22">
        <v>2</v>
      </c>
      <c r="I208" s="22">
        <v>10</v>
      </c>
      <c r="J208" s="22">
        <v>15</v>
      </c>
      <c r="K208" s="21" t="s">
        <v>83</v>
      </c>
      <c r="L208" s="21" t="s">
        <v>3</v>
      </c>
      <c r="M208" s="23">
        <v>52633901</v>
      </c>
      <c r="N208" s="23" t="s">
        <v>867</v>
      </c>
      <c r="O208" s="86" t="s">
        <v>8</v>
      </c>
      <c r="P208" s="509">
        <v>201891000290</v>
      </c>
      <c r="Q208" s="86" t="s">
        <v>949</v>
      </c>
      <c r="R208" s="45">
        <v>52633901</v>
      </c>
      <c r="S208" s="86" t="s">
        <v>67</v>
      </c>
      <c r="T208" s="21" t="s">
        <v>66</v>
      </c>
      <c r="U208" s="23">
        <v>0</v>
      </c>
      <c r="V208" s="21" t="s">
        <v>67</v>
      </c>
      <c r="W208" s="21" t="s">
        <v>68</v>
      </c>
      <c r="X208" s="21" t="s">
        <v>69</v>
      </c>
      <c r="Y208" s="26">
        <v>3422121</v>
      </c>
      <c r="Z208" s="27" t="s">
        <v>70</v>
      </c>
      <c r="AA208" s="13" t="s">
        <v>67</v>
      </c>
      <c r="AB208" s="13"/>
      <c r="AC208" s="171"/>
      <c r="AD208" s="23"/>
      <c r="AE208" s="23">
        <f>52633901*40%</f>
        <v>21053560.400000002</v>
      </c>
      <c r="AF208" s="23">
        <f>52633901*60%</f>
        <v>31580340.599999998</v>
      </c>
      <c r="AG208" s="21"/>
      <c r="AH208" s="21"/>
    </row>
    <row r="209" spans="1:34" ht="24.95" customHeight="1" x14ac:dyDescent="0.25">
      <c r="A209" s="26">
        <v>86121700</v>
      </c>
      <c r="B209" s="36" t="s">
        <v>58</v>
      </c>
      <c r="C209" s="36" t="s">
        <v>59</v>
      </c>
      <c r="D209" s="36" t="s">
        <v>60</v>
      </c>
      <c r="E209" s="21" t="s">
        <v>84</v>
      </c>
      <c r="F209" s="21" t="s">
        <v>85</v>
      </c>
      <c r="G209" s="26">
        <v>2</v>
      </c>
      <c r="H209" s="22">
        <v>2</v>
      </c>
      <c r="I209" s="22">
        <v>0</v>
      </c>
      <c r="J209" s="22">
        <v>0</v>
      </c>
      <c r="K209" s="21" t="s">
        <v>63</v>
      </c>
      <c r="L209" s="21" t="s">
        <v>3</v>
      </c>
      <c r="M209" s="23">
        <v>3634104</v>
      </c>
      <c r="N209" s="23" t="s">
        <v>867</v>
      </c>
      <c r="O209" s="86" t="s">
        <v>8</v>
      </c>
      <c r="P209" s="509">
        <v>201891000290</v>
      </c>
      <c r="Q209" s="86" t="s">
        <v>949</v>
      </c>
      <c r="R209" s="45">
        <v>3634104</v>
      </c>
      <c r="S209" s="86" t="s">
        <v>63</v>
      </c>
      <c r="T209" s="21" t="s">
        <v>66</v>
      </c>
      <c r="U209" s="23">
        <v>0</v>
      </c>
      <c r="V209" s="21" t="s">
        <v>67</v>
      </c>
      <c r="W209" s="21" t="s">
        <v>68</v>
      </c>
      <c r="X209" s="21" t="s">
        <v>69</v>
      </c>
      <c r="Y209" s="26">
        <v>3422121</v>
      </c>
      <c r="Z209" s="27" t="s">
        <v>70</v>
      </c>
      <c r="AA209" s="13" t="s">
        <v>67</v>
      </c>
      <c r="AB209" s="13"/>
      <c r="AC209" s="171"/>
      <c r="AD209" s="23"/>
      <c r="AE209" s="23"/>
      <c r="AF209" s="23">
        <v>3634104</v>
      </c>
      <c r="AG209" s="21"/>
      <c r="AH209" s="21"/>
    </row>
    <row r="210" spans="1:34" s="127" customFormat="1" ht="24.95" customHeight="1" x14ac:dyDescent="0.25">
      <c r="A210" s="132">
        <v>86101600</v>
      </c>
      <c r="B210" s="295" t="s">
        <v>58</v>
      </c>
      <c r="C210" s="295" t="s">
        <v>59</v>
      </c>
      <c r="D210" s="295" t="s">
        <v>60</v>
      </c>
      <c r="E210" s="116" t="s">
        <v>84</v>
      </c>
      <c r="F210" s="116" t="s">
        <v>1123</v>
      </c>
      <c r="G210" s="132">
        <v>2</v>
      </c>
      <c r="H210" s="133">
        <v>10</v>
      </c>
      <c r="I210" s="133">
        <v>10</v>
      </c>
      <c r="J210" s="133">
        <v>15</v>
      </c>
      <c r="K210" s="116" t="s">
        <v>63</v>
      </c>
      <c r="L210" s="115" t="s">
        <v>67</v>
      </c>
      <c r="M210" s="61">
        <f>3400000-3400000</f>
        <v>0</v>
      </c>
      <c r="N210" s="61"/>
      <c r="O210" s="61"/>
      <c r="P210" s="61"/>
      <c r="Q210" s="145"/>
      <c r="R210" s="61">
        <v>1755608</v>
      </c>
      <c r="S210" s="145" t="s">
        <v>67</v>
      </c>
      <c r="T210" s="116" t="s">
        <v>66</v>
      </c>
      <c r="U210" s="61">
        <v>0</v>
      </c>
      <c r="V210" s="116" t="s">
        <v>67</v>
      </c>
      <c r="W210" s="116" t="s">
        <v>68</v>
      </c>
      <c r="X210" s="116" t="s">
        <v>69</v>
      </c>
      <c r="Y210" s="132">
        <v>3422121</v>
      </c>
      <c r="Z210" s="134" t="s">
        <v>70</v>
      </c>
      <c r="AA210" s="124" t="s">
        <v>67</v>
      </c>
      <c r="AB210" s="124"/>
      <c r="AC210" s="172">
        <v>3400000</v>
      </c>
      <c r="AD210" s="61"/>
      <c r="AE210" s="61"/>
      <c r="AF210" s="61"/>
      <c r="AG210" s="116"/>
      <c r="AH210" s="116"/>
    </row>
    <row r="211" spans="1:34" ht="24.95" customHeight="1" x14ac:dyDescent="0.25">
      <c r="A211" s="26">
        <v>86121700</v>
      </c>
      <c r="B211" s="36" t="s">
        <v>58</v>
      </c>
      <c r="C211" s="36" t="s">
        <v>59</v>
      </c>
      <c r="D211" s="36" t="s">
        <v>60</v>
      </c>
      <c r="E211" s="21" t="s">
        <v>84</v>
      </c>
      <c r="F211" s="21" t="s">
        <v>1124</v>
      </c>
      <c r="G211" s="26">
        <v>2</v>
      </c>
      <c r="H211" s="22">
        <v>2</v>
      </c>
      <c r="I211" s="22">
        <v>0</v>
      </c>
      <c r="J211" s="22">
        <v>0</v>
      </c>
      <c r="K211" s="21" t="s">
        <v>63</v>
      </c>
      <c r="L211" s="115" t="s">
        <v>67</v>
      </c>
      <c r="M211" s="23">
        <v>0</v>
      </c>
      <c r="N211" s="23"/>
      <c r="O211" s="23"/>
      <c r="P211" s="23"/>
      <c r="Q211" s="86"/>
      <c r="R211" s="45">
        <v>1356206</v>
      </c>
      <c r="S211" s="86" t="s">
        <v>67</v>
      </c>
      <c r="T211" s="21" t="s">
        <v>66</v>
      </c>
      <c r="U211" s="23">
        <v>0</v>
      </c>
      <c r="V211" s="21" t="s">
        <v>67</v>
      </c>
      <c r="W211" s="21" t="s">
        <v>68</v>
      </c>
      <c r="X211" s="21" t="s">
        <v>69</v>
      </c>
      <c r="Y211" s="26">
        <v>3422121</v>
      </c>
      <c r="Z211" s="27" t="s">
        <v>70</v>
      </c>
      <c r="AA211" s="13" t="s">
        <v>67</v>
      </c>
      <c r="AB211" s="13"/>
      <c r="AC211" s="171"/>
      <c r="AD211" s="23"/>
      <c r="AE211" s="23"/>
      <c r="AF211" s="23"/>
      <c r="AG211" s="21"/>
      <c r="AH211" s="21"/>
    </row>
    <row r="212" spans="1:34" s="127" customFormat="1" ht="24.95" customHeight="1" x14ac:dyDescent="0.25">
      <c r="A212" s="132">
        <v>86101600</v>
      </c>
      <c r="B212" s="295" t="s">
        <v>58</v>
      </c>
      <c r="C212" s="295" t="s">
        <v>59</v>
      </c>
      <c r="D212" s="295" t="s">
        <v>60</v>
      </c>
      <c r="E212" s="116" t="s">
        <v>84</v>
      </c>
      <c r="F212" s="116" t="s">
        <v>1125</v>
      </c>
      <c r="G212" s="132">
        <v>8</v>
      </c>
      <c r="H212" s="133">
        <v>1</v>
      </c>
      <c r="I212" s="133">
        <v>1</v>
      </c>
      <c r="J212" s="133">
        <v>15</v>
      </c>
      <c r="K212" s="116" t="s">
        <v>63</v>
      </c>
      <c r="L212" s="115" t="s">
        <v>67</v>
      </c>
      <c r="M212" s="61">
        <f>2000000-2000000</f>
        <v>0</v>
      </c>
      <c r="N212" s="61"/>
      <c r="O212" s="61"/>
      <c r="P212" s="61"/>
      <c r="Q212" s="145"/>
      <c r="R212" s="61">
        <v>0</v>
      </c>
      <c r="S212" s="145" t="s">
        <v>67</v>
      </c>
      <c r="T212" s="116" t="s">
        <v>66</v>
      </c>
      <c r="U212" s="61">
        <v>0</v>
      </c>
      <c r="V212" s="116" t="s">
        <v>67</v>
      </c>
      <c r="W212" s="116" t="s">
        <v>68</v>
      </c>
      <c r="X212" s="116" t="s">
        <v>69</v>
      </c>
      <c r="Y212" s="132">
        <v>3422121</v>
      </c>
      <c r="Z212" s="134" t="s">
        <v>70</v>
      </c>
      <c r="AA212" s="124" t="s">
        <v>67</v>
      </c>
      <c r="AB212" s="124"/>
      <c r="AC212" s="172">
        <v>2000000</v>
      </c>
      <c r="AD212" s="61"/>
      <c r="AE212" s="61"/>
      <c r="AF212" s="61"/>
      <c r="AG212" s="116" t="s">
        <v>1126</v>
      </c>
      <c r="AH212" s="116"/>
    </row>
    <row r="213" spans="1:34" ht="24.95" customHeight="1" x14ac:dyDescent="0.25">
      <c r="A213" s="128">
        <v>86101600</v>
      </c>
      <c r="B213" s="294" t="s">
        <v>58</v>
      </c>
      <c r="C213" s="294" t="s">
        <v>59</v>
      </c>
      <c r="D213" s="294" t="s">
        <v>60</v>
      </c>
      <c r="E213" s="69" t="s">
        <v>84</v>
      </c>
      <c r="F213" s="69" t="s">
        <v>1127</v>
      </c>
      <c r="G213" s="26">
        <v>9</v>
      </c>
      <c r="H213" s="22">
        <v>9</v>
      </c>
      <c r="I213" s="22">
        <v>0</v>
      </c>
      <c r="J213" s="22">
        <v>0</v>
      </c>
      <c r="K213" s="21" t="s">
        <v>83</v>
      </c>
      <c r="L213" s="115" t="s">
        <v>67</v>
      </c>
      <c r="M213" s="119">
        <f>3266112-3266112</f>
        <v>0</v>
      </c>
      <c r="N213" s="119"/>
      <c r="O213" s="119"/>
      <c r="P213" s="119"/>
      <c r="Q213" s="143"/>
      <c r="R213" s="45">
        <v>3266112</v>
      </c>
      <c r="S213" s="143" t="s">
        <v>63</v>
      </c>
      <c r="T213" s="69" t="s">
        <v>66</v>
      </c>
      <c r="U213" s="119">
        <v>0</v>
      </c>
      <c r="V213" s="69" t="s">
        <v>67</v>
      </c>
      <c r="W213" s="69" t="s">
        <v>68</v>
      </c>
      <c r="X213" s="69" t="s">
        <v>69</v>
      </c>
      <c r="Y213" s="128">
        <v>3422121</v>
      </c>
      <c r="Z213" s="130" t="s">
        <v>70</v>
      </c>
      <c r="AA213" s="70" t="s">
        <v>67</v>
      </c>
      <c r="AB213" s="70"/>
      <c r="AC213" s="170"/>
      <c r="AD213" s="119">
        <v>3266112</v>
      </c>
      <c r="AE213" s="119"/>
      <c r="AF213" s="119"/>
      <c r="AG213" s="69" t="s">
        <v>955</v>
      </c>
      <c r="AH213" s="69">
        <v>10</v>
      </c>
    </row>
    <row r="214" spans="1:34" ht="24.95" customHeight="1" x14ac:dyDescent="0.25">
      <c r="A214" s="26">
        <v>86101600</v>
      </c>
      <c r="B214" s="36" t="s">
        <v>58</v>
      </c>
      <c r="C214" s="36" t="s">
        <v>59</v>
      </c>
      <c r="D214" s="36" t="s">
        <v>60</v>
      </c>
      <c r="E214" s="21" t="s">
        <v>86</v>
      </c>
      <c r="F214" s="21" t="s">
        <v>248</v>
      </c>
      <c r="G214" s="26">
        <v>1</v>
      </c>
      <c r="H214" s="22">
        <v>1</v>
      </c>
      <c r="I214" s="22">
        <v>11</v>
      </c>
      <c r="J214" s="22">
        <v>0</v>
      </c>
      <c r="K214" s="21" t="s">
        <v>83</v>
      </c>
      <c r="L214" s="21" t="s">
        <v>3</v>
      </c>
      <c r="M214" s="23">
        <v>82790370</v>
      </c>
      <c r="N214" s="23" t="s">
        <v>867</v>
      </c>
      <c r="O214" s="86" t="s">
        <v>8</v>
      </c>
      <c r="P214" s="509">
        <v>201891000290</v>
      </c>
      <c r="Q214" s="86" t="s">
        <v>949</v>
      </c>
      <c r="R214" s="45">
        <v>82790370</v>
      </c>
      <c r="S214" s="86" t="s">
        <v>67</v>
      </c>
      <c r="T214" s="21" t="s">
        <v>66</v>
      </c>
      <c r="U214" s="23">
        <v>0</v>
      </c>
      <c r="V214" s="21" t="s">
        <v>67</v>
      </c>
      <c r="W214" s="21" t="s">
        <v>68</v>
      </c>
      <c r="X214" s="21" t="s">
        <v>69</v>
      </c>
      <c r="Y214" s="26">
        <v>3422121</v>
      </c>
      <c r="Z214" s="27" t="s">
        <v>70</v>
      </c>
      <c r="AA214" s="13" t="s">
        <v>67</v>
      </c>
      <c r="AB214" s="13"/>
      <c r="AC214" s="171"/>
      <c r="AD214" s="23">
        <v>9270000</v>
      </c>
      <c r="AE214" s="23">
        <f>73520370*20%</f>
        <v>14704074</v>
      </c>
      <c r="AF214" s="23">
        <f>82790370-9270000-14704074</f>
        <v>58816296</v>
      </c>
      <c r="AG214" s="21" t="s">
        <v>1098</v>
      </c>
      <c r="AH214" s="21">
        <v>30</v>
      </c>
    </row>
    <row r="215" spans="1:34" ht="24.95" customHeight="1" x14ac:dyDescent="0.25">
      <c r="A215" s="26">
        <v>86101600</v>
      </c>
      <c r="B215" s="36" t="s">
        <v>58</v>
      </c>
      <c r="C215" s="36" t="s">
        <v>59</v>
      </c>
      <c r="D215" s="36" t="s">
        <v>60</v>
      </c>
      <c r="E215" s="21" t="s">
        <v>86</v>
      </c>
      <c r="F215" s="21" t="s">
        <v>250</v>
      </c>
      <c r="G215" s="26">
        <v>2</v>
      </c>
      <c r="H215" s="22">
        <v>2</v>
      </c>
      <c r="I215" s="22">
        <v>10</v>
      </c>
      <c r="J215" s="22">
        <v>15</v>
      </c>
      <c r="K215" s="21" t="s">
        <v>83</v>
      </c>
      <c r="L215" s="21" t="s">
        <v>3</v>
      </c>
      <c r="M215" s="23">
        <v>70841031</v>
      </c>
      <c r="N215" s="23" t="s">
        <v>867</v>
      </c>
      <c r="O215" s="86" t="s">
        <v>8</v>
      </c>
      <c r="P215" s="509">
        <v>201891000290</v>
      </c>
      <c r="Q215" s="86" t="s">
        <v>949</v>
      </c>
      <c r="R215" s="45">
        <v>70841031</v>
      </c>
      <c r="S215" s="86" t="s">
        <v>67</v>
      </c>
      <c r="T215" s="21" t="s">
        <v>66</v>
      </c>
      <c r="U215" s="23">
        <v>0</v>
      </c>
      <c r="V215" s="21" t="s">
        <v>67</v>
      </c>
      <c r="W215" s="21" t="s">
        <v>68</v>
      </c>
      <c r="X215" s="21" t="s">
        <v>69</v>
      </c>
      <c r="Y215" s="26">
        <v>3422121</v>
      </c>
      <c r="Z215" s="27" t="s">
        <v>70</v>
      </c>
      <c r="AA215" s="13" t="s">
        <v>67</v>
      </c>
      <c r="AB215" s="13"/>
      <c r="AC215" s="171"/>
      <c r="AD215" s="23"/>
      <c r="AE215" s="23">
        <f>70841031*40%</f>
        <v>28336412.400000002</v>
      </c>
      <c r="AF215" s="23">
        <f>70841031*60%</f>
        <v>42504618.600000001</v>
      </c>
      <c r="AG215" s="21"/>
      <c r="AH215" s="21"/>
    </row>
    <row r="216" spans="1:34" ht="24.95" customHeight="1" x14ac:dyDescent="0.25">
      <c r="A216" s="181">
        <v>86101600</v>
      </c>
      <c r="B216" s="293" t="s">
        <v>58</v>
      </c>
      <c r="C216" s="293" t="s">
        <v>59</v>
      </c>
      <c r="D216" s="293" t="s">
        <v>60</v>
      </c>
      <c r="E216" s="177" t="s">
        <v>86</v>
      </c>
      <c r="F216" s="177" t="s">
        <v>252</v>
      </c>
      <c r="G216" s="181">
        <v>2</v>
      </c>
      <c r="H216" s="183">
        <v>2</v>
      </c>
      <c r="I216" s="183">
        <v>10</v>
      </c>
      <c r="J216" s="183">
        <v>15</v>
      </c>
      <c r="K216" s="177" t="s">
        <v>83</v>
      </c>
      <c r="L216" s="21" t="s">
        <v>3</v>
      </c>
      <c r="M216" s="178">
        <v>58633906</v>
      </c>
      <c r="N216" s="23" t="s">
        <v>867</v>
      </c>
      <c r="O216" s="86" t="s">
        <v>8</v>
      </c>
      <c r="P216" s="509">
        <v>201891000290</v>
      </c>
      <c r="Q216" s="86" t="s">
        <v>949</v>
      </c>
      <c r="R216" s="179">
        <v>52850201</v>
      </c>
      <c r="S216" s="184" t="s">
        <v>67</v>
      </c>
      <c r="T216" s="177" t="s">
        <v>66</v>
      </c>
      <c r="U216" s="178">
        <v>0</v>
      </c>
      <c r="V216" s="177" t="s">
        <v>67</v>
      </c>
      <c r="W216" s="177" t="s">
        <v>68</v>
      </c>
      <c r="X216" s="177" t="s">
        <v>69</v>
      </c>
      <c r="Y216" s="181">
        <v>3422121</v>
      </c>
      <c r="Z216" s="194" t="s">
        <v>70</v>
      </c>
      <c r="AA216" s="185" t="s">
        <v>67</v>
      </c>
      <c r="AB216" s="13"/>
      <c r="AC216" s="171"/>
      <c r="AD216" s="23"/>
      <c r="AE216" s="23">
        <f>58633906*40%</f>
        <v>23453562.400000002</v>
      </c>
      <c r="AF216" s="23">
        <f>58633906*60%</f>
        <v>35180343.600000001</v>
      </c>
      <c r="AG216" s="21"/>
      <c r="AH216" s="21"/>
    </row>
    <row r="217" spans="1:34" s="118" customFormat="1" ht="24.95" customHeight="1" x14ac:dyDescent="0.25">
      <c r="A217" s="101">
        <v>86101600</v>
      </c>
      <c r="B217" s="110" t="s">
        <v>58</v>
      </c>
      <c r="C217" s="110" t="s">
        <v>59</v>
      </c>
      <c r="D217" s="110" t="s">
        <v>60</v>
      </c>
      <c r="E217" s="87" t="s">
        <v>86</v>
      </c>
      <c r="F217" s="87" t="s">
        <v>254</v>
      </c>
      <c r="G217" s="101">
        <v>2</v>
      </c>
      <c r="H217" s="88">
        <v>2</v>
      </c>
      <c r="I217" s="88">
        <v>10</v>
      </c>
      <c r="J217" s="88">
        <v>15</v>
      </c>
      <c r="K217" s="87" t="s">
        <v>83</v>
      </c>
      <c r="L217" s="21" t="s">
        <v>3</v>
      </c>
      <c r="M217" s="32">
        <v>26454797</v>
      </c>
      <c r="N217" s="23" t="s">
        <v>867</v>
      </c>
      <c r="O217" s="86" t="s">
        <v>8</v>
      </c>
      <c r="P217" s="509">
        <v>201891000290</v>
      </c>
      <c r="Q217" s="86" t="s">
        <v>949</v>
      </c>
      <c r="R217" s="32">
        <v>54362374</v>
      </c>
      <c r="S217" s="89" t="s">
        <v>67</v>
      </c>
      <c r="T217" s="87" t="s">
        <v>66</v>
      </c>
      <c r="U217" s="32">
        <v>0</v>
      </c>
      <c r="V217" s="87" t="s">
        <v>67</v>
      </c>
      <c r="W217" s="87" t="s">
        <v>68</v>
      </c>
      <c r="X217" s="87" t="s">
        <v>69</v>
      </c>
      <c r="Y217" s="101">
        <v>3422121</v>
      </c>
      <c r="Z217" s="90" t="s">
        <v>70</v>
      </c>
      <c r="AA217" s="117" t="s">
        <v>67</v>
      </c>
      <c r="AB217" s="117"/>
      <c r="AC217" s="173"/>
      <c r="AD217" s="32">
        <v>3153840</v>
      </c>
      <c r="AE217" s="32"/>
      <c r="AF217" s="32">
        <v>23300957</v>
      </c>
      <c r="AG217" s="87" t="s">
        <v>1128</v>
      </c>
      <c r="AH217" s="87">
        <v>30</v>
      </c>
    </row>
    <row r="218" spans="1:34" ht="24.95" customHeight="1" x14ac:dyDescent="0.25">
      <c r="A218" s="216">
        <v>86101600</v>
      </c>
      <c r="B218" s="292" t="s">
        <v>58</v>
      </c>
      <c r="C218" s="292" t="s">
        <v>59</v>
      </c>
      <c r="D218" s="292" t="s">
        <v>60</v>
      </c>
      <c r="E218" s="214" t="s">
        <v>86</v>
      </c>
      <c r="F218" s="214" t="s">
        <v>255</v>
      </c>
      <c r="G218" s="216">
        <v>2</v>
      </c>
      <c r="H218" s="237">
        <v>2</v>
      </c>
      <c r="I218" s="237">
        <v>10</v>
      </c>
      <c r="J218" s="237">
        <v>15</v>
      </c>
      <c r="K218" s="214" t="s">
        <v>83</v>
      </c>
      <c r="L218" s="21" t="s">
        <v>3</v>
      </c>
      <c r="M218" s="215">
        <v>52035690</v>
      </c>
      <c r="N218" s="23" t="s">
        <v>867</v>
      </c>
      <c r="O218" s="86" t="s">
        <v>8</v>
      </c>
      <c r="P218" s="509">
        <v>201891000290</v>
      </c>
      <c r="Q218" s="86" t="s">
        <v>949</v>
      </c>
      <c r="R218" s="219">
        <v>49465523</v>
      </c>
      <c r="S218" s="220" t="s">
        <v>67</v>
      </c>
      <c r="T218" s="214" t="s">
        <v>66</v>
      </c>
      <c r="U218" s="215">
        <v>0</v>
      </c>
      <c r="V218" s="214" t="s">
        <v>67</v>
      </c>
      <c r="W218" s="214" t="s">
        <v>68</v>
      </c>
      <c r="X218" s="214" t="s">
        <v>69</v>
      </c>
      <c r="Y218" s="216">
        <v>3422121</v>
      </c>
      <c r="Z218" s="253" t="s">
        <v>70</v>
      </c>
      <c r="AA218" s="229" t="s">
        <v>67</v>
      </c>
      <c r="AB218" s="13"/>
      <c r="AC218" s="171"/>
      <c r="AD218" s="23">
        <v>2250000</v>
      </c>
      <c r="AE218" s="23">
        <v>9957138</v>
      </c>
      <c r="AF218" s="23">
        <f>52035690-9957138-2250000</f>
        <v>39828552</v>
      </c>
      <c r="AG218" s="21"/>
      <c r="AH218" s="21"/>
    </row>
    <row r="219" spans="1:34" ht="24.95" customHeight="1" x14ac:dyDescent="0.25">
      <c r="A219" s="26">
        <v>86101600</v>
      </c>
      <c r="B219" s="36" t="s">
        <v>58</v>
      </c>
      <c r="C219" s="36" t="s">
        <v>59</v>
      </c>
      <c r="D219" s="36" t="s">
        <v>60</v>
      </c>
      <c r="E219" s="21" t="s">
        <v>86</v>
      </c>
      <c r="F219" s="21" t="s">
        <v>257</v>
      </c>
      <c r="G219" s="26">
        <v>1</v>
      </c>
      <c r="H219" s="22">
        <v>1</v>
      </c>
      <c r="I219" s="22">
        <v>11</v>
      </c>
      <c r="J219" s="22">
        <v>0</v>
      </c>
      <c r="K219" s="21" t="s">
        <v>83</v>
      </c>
      <c r="L219" s="21" t="s">
        <v>3</v>
      </c>
      <c r="M219" s="23">
        <v>61457443</v>
      </c>
      <c r="N219" s="23" t="s">
        <v>867</v>
      </c>
      <c r="O219" s="86" t="s">
        <v>8</v>
      </c>
      <c r="P219" s="509">
        <v>201891000290</v>
      </c>
      <c r="Q219" s="86" t="s">
        <v>949</v>
      </c>
      <c r="R219" s="45">
        <v>61457443</v>
      </c>
      <c r="S219" s="86" t="s">
        <v>67</v>
      </c>
      <c r="T219" s="21" t="s">
        <v>66</v>
      </c>
      <c r="U219" s="23">
        <v>0</v>
      </c>
      <c r="V219" s="21" t="s">
        <v>67</v>
      </c>
      <c r="W219" s="21" t="s">
        <v>68</v>
      </c>
      <c r="X219" s="21" t="s">
        <v>69</v>
      </c>
      <c r="Y219" s="26">
        <v>3422121</v>
      </c>
      <c r="Z219" s="27" t="s">
        <v>70</v>
      </c>
      <c r="AA219" s="13" t="s">
        <v>67</v>
      </c>
      <c r="AB219" s="13"/>
      <c r="AC219" s="171"/>
      <c r="AD219" s="23">
        <v>7542505</v>
      </c>
      <c r="AE219" s="23">
        <f>53914938*20%</f>
        <v>10782987.600000001</v>
      </c>
      <c r="AF219" s="23">
        <f>61457443-10782988-7542505</f>
        <v>43131950</v>
      </c>
      <c r="AG219" s="21"/>
      <c r="AH219" s="21"/>
    </row>
    <row r="220" spans="1:34" ht="24.95" customHeight="1" x14ac:dyDescent="0.25">
      <c r="A220" s="26">
        <v>86101600</v>
      </c>
      <c r="B220" s="36" t="s">
        <v>58</v>
      </c>
      <c r="C220" s="36" t="s">
        <v>59</v>
      </c>
      <c r="D220" s="36" t="s">
        <v>60</v>
      </c>
      <c r="E220" s="21" t="s">
        <v>86</v>
      </c>
      <c r="F220" s="21" t="s">
        <v>258</v>
      </c>
      <c r="G220" s="26">
        <v>2</v>
      </c>
      <c r="H220" s="22">
        <v>2</v>
      </c>
      <c r="I220" s="22">
        <v>10</v>
      </c>
      <c r="J220" s="22">
        <v>15</v>
      </c>
      <c r="K220" s="21" t="s">
        <v>83</v>
      </c>
      <c r="L220" s="21" t="s">
        <v>3</v>
      </c>
      <c r="M220" s="23">
        <v>46785690</v>
      </c>
      <c r="N220" s="23" t="s">
        <v>867</v>
      </c>
      <c r="O220" s="86" t="s">
        <v>8</v>
      </c>
      <c r="P220" s="509">
        <v>201891000290</v>
      </c>
      <c r="Q220" s="86" t="s">
        <v>949</v>
      </c>
      <c r="R220" s="45">
        <v>53093369</v>
      </c>
      <c r="S220" s="86" t="s">
        <v>67</v>
      </c>
      <c r="T220" s="21" t="s">
        <v>66</v>
      </c>
      <c r="U220" s="23">
        <v>0</v>
      </c>
      <c r="V220" s="21" t="s">
        <v>67</v>
      </c>
      <c r="W220" s="21" t="s">
        <v>68</v>
      </c>
      <c r="X220" s="21" t="s">
        <v>69</v>
      </c>
      <c r="Y220" s="26">
        <v>3422121</v>
      </c>
      <c r="Z220" s="27" t="s">
        <v>70</v>
      </c>
      <c r="AA220" s="13" t="s">
        <v>67</v>
      </c>
      <c r="AB220" s="13"/>
      <c r="AC220" s="171"/>
      <c r="AD220" s="23">
        <v>6307680</v>
      </c>
      <c r="AE220" s="23">
        <v>16191204</v>
      </c>
      <c r="AF220" s="23">
        <v>24286806</v>
      </c>
      <c r="AG220" s="21"/>
      <c r="AH220" s="21"/>
    </row>
    <row r="221" spans="1:34" ht="24.95" customHeight="1" x14ac:dyDescent="0.25">
      <c r="A221" s="26">
        <v>86101600</v>
      </c>
      <c r="B221" s="36" t="s">
        <v>58</v>
      </c>
      <c r="C221" s="36" t="s">
        <v>59</v>
      </c>
      <c r="D221" s="36" t="s">
        <v>60</v>
      </c>
      <c r="E221" s="21" t="s">
        <v>86</v>
      </c>
      <c r="F221" s="21" t="s">
        <v>1129</v>
      </c>
      <c r="G221" s="26">
        <v>8</v>
      </c>
      <c r="H221" s="22">
        <v>8</v>
      </c>
      <c r="I221" s="22">
        <v>4</v>
      </c>
      <c r="J221" s="22">
        <v>15</v>
      </c>
      <c r="K221" s="21" t="s">
        <v>83</v>
      </c>
      <c r="L221" s="115" t="s">
        <v>67</v>
      </c>
      <c r="M221" s="23">
        <v>0</v>
      </c>
      <c r="N221" s="23"/>
      <c r="O221" s="23"/>
      <c r="P221" s="23"/>
      <c r="Q221" s="86"/>
      <c r="R221" s="45">
        <v>6407754</v>
      </c>
      <c r="S221" s="86" t="s">
        <v>67</v>
      </c>
      <c r="T221" s="21" t="s">
        <v>66</v>
      </c>
      <c r="U221" s="23">
        <v>0</v>
      </c>
      <c r="V221" s="21" t="s">
        <v>67</v>
      </c>
      <c r="W221" s="21" t="s">
        <v>68</v>
      </c>
      <c r="X221" s="21" t="s">
        <v>69</v>
      </c>
      <c r="Y221" s="26">
        <v>3422121</v>
      </c>
      <c r="Z221" s="27" t="s">
        <v>70</v>
      </c>
      <c r="AA221" s="13" t="s">
        <v>67</v>
      </c>
      <c r="AB221" s="13"/>
      <c r="AC221" s="171"/>
      <c r="AD221" s="23"/>
      <c r="AE221" s="23"/>
      <c r="AF221" s="23"/>
      <c r="AG221" s="21"/>
      <c r="AH221" s="21"/>
    </row>
    <row r="222" spans="1:34" ht="24.95" customHeight="1" x14ac:dyDescent="0.25">
      <c r="A222" s="26">
        <v>86101600</v>
      </c>
      <c r="B222" s="36" t="s">
        <v>58</v>
      </c>
      <c r="C222" s="36" t="s">
        <v>59</v>
      </c>
      <c r="D222" s="36" t="s">
        <v>60</v>
      </c>
      <c r="E222" s="21" t="s">
        <v>86</v>
      </c>
      <c r="F222" s="21" t="s">
        <v>1130</v>
      </c>
      <c r="G222" s="26">
        <v>8</v>
      </c>
      <c r="H222" s="22">
        <v>8</v>
      </c>
      <c r="I222" s="22">
        <v>4</v>
      </c>
      <c r="J222" s="22">
        <v>0</v>
      </c>
      <c r="K222" s="21" t="s">
        <v>83</v>
      </c>
      <c r="L222" s="115" t="s">
        <v>67</v>
      </c>
      <c r="M222" s="23">
        <v>0</v>
      </c>
      <c r="N222" s="23"/>
      <c r="O222" s="23"/>
      <c r="P222" s="23"/>
      <c r="Q222" s="86"/>
      <c r="R222" s="45">
        <v>4400000</v>
      </c>
      <c r="S222" s="86" t="s">
        <v>67</v>
      </c>
      <c r="T222" s="21" t="s">
        <v>66</v>
      </c>
      <c r="U222" s="23">
        <v>0</v>
      </c>
      <c r="V222" s="21" t="s">
        <v>67</v>
      </c>
      <c r="W222" s="21" t="s">
        <v>68</v>
      </c>
      <c r="X222" s="21" t="s">
        <v>69</v>
      </c>
      <c r="Y222" s="26">
        <v>3422121</v>
      </c>
      <c r="Z222" s="27" t="s">
        <v>70</v>
      </c>
      <c r="AA222" s="13" t="s">
        <v>67</v>
      </c>
      <c r="AB222" s="13"/>
      <c r="AC222" s="171"/>
      <c r="AD222" s="23"/>
      <c r="AE222" s="23"/>
      <c r="AF222" s="23"/>
      <c r="AG222" s="21"/>
      <c r="AH222" s="21"/>
    </row>
    <row r="223" spans="1:34" s="118" customFormat="1" ht="24.95" customHeight="1" x14ac:dyDescent="0.25">
      <c r="A223" s="101">
        <v>86101601</v>
      </c>
      <c r="B223" s="110" t="s">
        <v>58</v>
      </c>
      <c r="C223" s="110" t="s">
        <v>59</v>
      </c>
      <c r="D223" s="110" t="s">
        <v>60</v>
      </c>
      <c r="E223" s="87" t="s">
        <v>86</v>
      </c>
      <c r="F223" s="87" t="s">
        <v>259</v>
      </c>
      <c r="G223" s="101">
        <v>2</v>
      </c>
      <c r="H223" s="88">
        <v>2</v>
      </c>
      <c r="I223" s="88">
        <v>10</v>
      </c>
      <c r="J223" s="88">
        <v>15</v>
      </c>
      <c r="K223" s="87" t="s">
        <v>83</v>
      </c>
      <c r="L223" s="87" t="s">
        <v>3</v>
      </c>
      <c r="M223" s="32">
        <f>49785690-19914276</f>
        <v>29871414</v>
      </c>
      <c r="N223" s="23" t="s">
        <v>867</v>
      </c>
      <c r="O223" s="86" t="s">
        <v>8</v>
      </c>
      <c r="P223" s="509">
        <v>201891000290</v>
      </c>
      <c r="Q223" s="86" t="s">
        <v>949</v>
      </c>
      <c r="R223" s="32">
        <v>22510859</v>
      </c>
      <c r="S223" s="89" t="s">
        <v>67</v>
      </c>
      <c r="T223" s="87" t="s">
        <v>66</v>
      </c>
      <c r="U223" s="32">
        <v>0</v>
      </c>
      <c r="V223" s="87" t="s">
        <v>67</v>
      </c>
      <c r="W223" s="87" t="s">
        <v>68</v>
      </c>
      <c r="X223" s="87" t="s">
        <v>69</v>
      </c>
      <c r="Y223" s="101">
        <v>3422121</v>
      </c>
      <c r="Z223" s="90" t="s">
        <v>70</v>
      </c>
      <c r="AA223" s="117" t="s">
        <v>1131</v>
      </c>
      <c r="AB223" s="117"/>
      <c r="AC223" s="173"/>
      <c r="AD223" s="32"/>
      <c r="AE223" s="32">
        <f>49785690*40%</f>
        <v>19914276</v>
      </c>
      <c r="AF223" s="32">
        <f>49785690*60%</f>
        <v>29871414</v>
      </c>
      <c r="AG223" s="87"/>
      <c r="AH223" s="87"/>
    </row>
    <row r="224" spans="1:34" ht="24.95" customHeight="1" x14ac:dyDescent="0.25">
      <c r="A224" s="26">
        <v>86101600</v>
      </c>
      <c r="B224" s="36" t="s">
        <v>58</v>
      </c>
      <c r="C224" s="36" t="s">
        <v>59</v>
      </c>
      <c r="D224" s="36" t="s">
        <v>60</v>
      </c>
      <c r="E224" s="21" t="s">
        <v>86</v>
      </c>
      <c r="F224" s="21" t="s">
        <v>1132</v>
      </c>
      <c r="G224" s="26">
        <v>2</v>
      </c>
      <c r="H224" s="22">
        <v>2</v>
      </c>
      <c r="I224" s="22">
        <v>4</v>
      </c>
      <c r="J224" s="22">
        <v>15</v>
      </c>
      <c r="K224" s="21" t="s">
        <v>63</v>
      </c>
      <c r="L224" s="21" t="s">
        <v>3</v>
      </c>
      <c r="M224" s="23">
        <v>6789217</v>
      </c>
      <c r="N224" s="23" t="s">
        <v>867</v>
      </c>
      <c r="O224" s="86" t="s">
        <v>8</v>
      </c>
      <c r="P224" s="509">
        <v>201891000290</v>
      </c>
      <c r="Q224" s="86" t="s">
        <v>949</v>
      </c>
      <c r="R224" s="45">
        <v>0</v>
      </c>
      <c r="S224" s="86" t="s">
        <v>63</v>
      </c>
      <c r="T224" s="21" t="s">
        <v>66</v>
      </c>
      <c r="U224" s="23">
        <v>0</v>
      </c>
      <c r="V224" s="21" t="s">
        <v>67</v>
      </c>
      <c r="W224" s="21" t="s">
        <v>68</v>
      </c>
      <c r="X224" s="21" t="s">
        <v>69</v>
      </c>
      <c r="Y224" s="26">
        <v>3422121</v>
      </c>
      <c r="Z224" s="27" t="s">
        <v>70</v>
      </c>
      <c r="AA224" s="13" t="s">
        <v>67</v>
      </c>
      <c r="AB224" s="13"/>
      <c r="AC224" s="171"/>
      <c r="AD224" s="23"/>
      <c r="AE224" s="23"/>
      <c r="AF224" s="23">
        <v>6789217</v>
      </c>
      <c r="AG224" s="21"/>
      <c r="AH224" s="21"/>
    </row>
    <row r="225" spans="1:34" ht="24.95" customHeight="1" x14ac:dyDescent="0.25">
      <c r="A225" s="26">
        <v>86101600</v>
      </c>
      <c r="B225" s="36" t="s">
        <v>58</v>
      </c>
      <c r="C225" s="36" t="s">
        <v>59</v>
      </c>
      <c r="D225" s="36" t="s">
        <v>60</v>
      </c>
      <c r="E225" s="21" t="s">
        <v>86</v>
      </c>
      <c r="F225" s="21" t="s">
        <v>88</v>
      </c>
      <c r="G225" s="26">
        <v>1</v>
      </c>
      <c r="H225" s="22">
        <v>1</v>
      </c>
      <c r="I225" s="22">
        <v>0</v>
      </c>
      <c r="J225" s="22">
        <v>0</v>
      </c>
      <c r="K225" s="21" t="s">
        <v>63</v>
      </c>
      <c r="L225" s="21" t="s">
        <v>10</v>
      </c>
      <c r="M225" s="23">
        <v>3104751.5999999996</v>
      </c>
      <c r="N225" s="86" t="s">
        <v>877</v>
      </c>
      <c r="O225" s="86" t="s">
        <v>5</v>
      </c>
      <c r="P225" s="509">
        <v>201891000290</v>
      </c>
      <c r="Q225" s="86" t="s">
        <v>949</v>
      </c>
      <c r="R225" s="45">
        <v>3104751.5999999996</v>
      </c>
      <c r="S225" s="86" t="s">
        <v>63</v>
      </c>
      <c r="T225" s="21" t="s">
        <v>66</v>
      </c>
      <c r="U225" s="23">
        <v>0</v>
      </c>
      <c r="V225" s="21" t="s">
        <v>67</v>
      </c>
      <c r="W225" s="21" t="s">
        <v>68</v>
      </c>
      <c r="X225" s="21" t="s">
        <v>69</v>
      </c>
      <c r="Y225" s="26">
        <v>3422121</v>
      </c>
      <c r="Z225" s="27" t="s">
        <v>70</v>
      </c>
      <c r="AA225" s="13" t="s">
        <v>67</v>
      </c>
      <c r="AB225" s="13"/>
      <c r="AC225" s="171">
        <v>3104751.5999999996</v>
      </c>
      <c r="AD225" s="23"/>
      <c r="AE225" s="23"/>
      <c r="AF225" s="23"/>
      <c r="AG225" s="21"/>
      <c r="AH225" s="21"/>
    </row>
    <row r="226" spans="1:34" ht="24.95" customHeight="1" x14ac:dyDescent="0.25">
      <c r="A226" s="132">
        <v>86101701</v>
      </c>
      <c r="B226" s="295" t="s">
        <v>58</v>
      </c>
      <c r="C226" s="295" t="s">
        <v>59</v>
      </c>
      <c r="D226" s="295" t="s">
        <v>60</v>
      </c>
      <c r="E226" s="116" t="s">
        <v>89</v>
      </c>
      <c r="F226" s="116" t="s">
        <v>1133</v>
      </c>
      <c r="G226" s="132">
        <v>2</v>
      </c>
      <c r="H226" s="133">
        <v>2</v>
      </c>
      <c r="I226" s="133">
        <v>10</v>
      </c>
      <c r="J226" s="133">
        <v>15</v>
      </c>
      <c r="K226" s="116" t="s">
        <v>83</v>
      </c>
      <c r="L226" s="115" t="s">
        <v>67</v>
      </c>
      <c r="M226" s="61">
        <f>58482112-58482112</f>
        <v>0</v>
      </c>
      <c r="N226" s="61"/>
      <c r="O226" s="61"/>
      <c r="P226" s="61"/>
      <c r="Q226" s="145"/>
      <c r="R226" s="61">
        <v>0</v>
      </c>
      <c r="S226" s="145" t="s">
        <v>67</v>
      </c>
      <c r="T226" s="116" t="s">
        <v>66</v>
      </c>
      <c r="U226" s="61">
        <v>0</v>
      </c>
      <c r="V226" s="116" t="s">
        <v>67</v>
      </c>
      <c r="W226" s="116" t="s">
        <v>68</v>
      </c>
      <c r="X226" s="116" t="s">
        <v>69</v>
      </c>
      <c r="Y226" s="132">
        <v>3422121</v>
      </c>
      <c r="Z226" s="134" t="s">
        <v>70</v>
      </c>
      <c r="AA226" s="124" t="s">
        <v>67</v>
      </c>
      <c r="AB226" s="124"/>
      <c r="AC226" s="172"/>
      <c r="AD226" s="61"/>
      <c r="AE226" s="61"/>
      <c r="AF226" s="61">
        <v>58482112</v>
      </c>
      <c r="AG226" s="116"/>
      <c r="AH226" s="116"/>
    </row>
    <row r="227" spans="1:34" ht="24.95" customHeight="1" x14ac:dyDescent="0.25">
      <c r="A227" s="132">
        <v>86101600</v>
      </c>
      <c r="B227" s="295" t="s">
        <v>58</v>
      </c>
      <c r="C227" s="295" t="s">
        <v>59</v>
      </c>
      <c r="D227" s="295" t="s">
        <v>60</v>
      </c>
      <c r="E227" s="116" t="s">
        <v>1134</v>
      </c>
      <c r="F227" s="116" t="s">
        <v>1135</v>
      </c>
      <c r="G227" s="132">
        <v>6</v>
      </c>
      <c r="H227" s="133">
        <v>6</v>
      </c>
      <c r="I227" s="133">
        <v>6</v>
      </c>
      <c r="J227" s="133">
        <v>0</v>
      </c>
      <c r="K227" s="116" t="s">
        <v>83</v>
      </c>
      <c r="L227" s="115" t="s">
        <v>67</v>
      </c>
      <c r="M227" s="61">
        <f>26400000-26400000</f>
        <v>0</v>
      </c>
      <c r="N227" s="61"/>
      <c r="O227" s="61"/>
      <c r="P227" s="61"/>
      <c r="Q227" s="145"/>
      <c r="R227" s="61">
        <v>0</v>
      </c>
      <c r="S227" s="145" t="s">
        <v>67</v>
      </c>
      <c r="T227" s="116" t="s">
        <v>66</v>
      </c>
      <c r="U227" s="61">
        <v>0</v>
      </c>
      <c r="V227" s="116" t="s">
        <v>67</v>
      </c>
      <c r="W227" s="116" t="s">
        <v>68</v>
      </c>
      <c r="X227" s="116" t="s">
        <v>69</v>
      </c>
      <c r="Y227" s="132">
        <v>3422121</v>
      </c>
      <c r="Z227" s="134"/>
      <c r="AA227" s="124" t="s">
        <v>67</v>
      </c>
      <c r="AB227" s="124"/>
      <c r="AC227" s="172"/>
      <c r="AD227" s="61"/>
      <c r="AE227" s="61"/>
      <c r="AF227" s="61">
        <v>26400000</v>
      </c>
      <c r="AG227" s="116"/>
      <c r="AH227" s="116"/>
    </row>
    <row r="228" spans="1:34" ht="24.95" customHeight="1" x14ac:dyDescent="0.25">
      <c r="A228" s="132">
        <v>86101600</v>
      </c>
      <c r="B228" s="295" t="s">
        <v>58</v>
      </c>
      <c r="C228" s="295" t="s">
        <v>59</v>
      </c>
      <c r="D228" s="295" t="s">
        <v>60</v>
      </c>
      <c r="E228" s="116" t="s">
        <v>1134</v>
      </c>
      <c r="F228" s="116" t="s">
        <v>1136</v>
      </c>
      <c r="G228" s="132">
        <v>6</v>
      </c>
      <c r="H228" s="133">
        <v>6</v>
      </c>
      <c r="I228" s="133">
        <v>6</v>
      </c>
      <c r="J228" s="133">
        <v>0</v>
      </c>
      <c r="K228" s="116" t="s">
        <v>83</v>
      </c>
      <c r="L228" s="115" t="s">
        <v>67</v>
      </c>
      <c r="M228" s="61">
        <f>17600000-17600000</f>
        <v>0</v>
      </c>
      <c r="N228" s="61"/>
      <c r="O228" s="61"/>
      <c r="P228" s="61"/>
      <c r="Q228" s="145"/>
      <c r="R228" s="61">
        <v>0</v>
      </c>
      <c r="S228" s="145" t="s">
        <v>67</v>
      </c>
      <c r="T228" s="116" t="s">
        <v>66</v>
      </c>
      <c r="U228" s="61">
        <v>0</v>
      </c>
      <c r="V228" s="116" t="s">
        <v>67</v>
      </c>
      <c r="W228" s="116" t="s">
        <v>68</v>
      </c>
      <c r="X228" s="116" t="s">
        <v>69</v>
      </c>
      <c r="Y228" s="132">
        <v>3422121</v>
      </c>
      <c r="Z228" s="134"/>
      <c r="AA228" s="124" t="s">
        <v>67</v>
      </c>
      <c r="AB228" s="124"/>
      <c r="AC228" s="172"/>
      <c r="AD228" s="61"/>
      <c r="AE228" s="61"/>
      <c r="AF228" s="61">
        <v>17600000</v>
      </c>
      <c r="AG228" s="116"/>
      <c r="AH228" s="116"/>
    </row>
    <row r="229" spans="1:34" ht="24.95" customHeight="1" x14ac:dyDescent="0.25">
      <c r="A229" s="132">
        <v>86101600</v>
      </c>
      <c r="B229" s="295" t="s">
        <v>58</v>
      </c>
      <c r="C229" s="295" t="s">
        <v>59</v>
      </c>
      <c r="D229" s="295" t="s">
        <v>60</v>
      </c>
      <c r="E229" s="116" t="s">
        <v>1134</v>
      </c>
      <c r="F229" s="116" t="s">
        <v>1137</v>
      </c>
      <c r="G229" s="132">
        <v>6</v>
      </c>
      <c r="H229" s="133">
        <v>6</v>
      </c>
      <c r="I229" s="133">
        <v>6</v>
      </c>
      <c r="J229" s="133">
        <v>0</v>
      </c>
      <c r="K229" s="116" t="s">
        <v>83</v>
      </c>
      <c r="L229" s="115" t="s">
        <v>67</v>
      </c>
      <c r="M229" s="61">
        <f>6600000-6600000</f>
        <v>0</v>
      </c>
      <c r="N229" s="61"/>
      <c r="O229" s="61"/>
      <c r="P229" s="61"/>
      <c r="Q229" s="145"/>
      <c r="R229" s="61">
        <v>0</v>
      </c>
      <c r="S229" s="145" t="s">
        <v>67</v>
      </c>
      <c r="T229" s="116" t="s">
        <v>66</v>
      </c>
      <c r="U229" s="61">
        <v>0</v>
      </c>
      <c r="V229" s="116" t="s">
        <v>67</v>
      </c>
      <c r="W229" s="116" t="s">
        <v>68</v>
      </c>
      <c r="X229" s="116" t="s">
        <v>69</v>
      </c>
      <c r="Y229" s="132">
        <v>3422121</v>
      </c>
      <c r="Z229" s="134"/>
      <c r="AA229" s="124" t="s">
        <v>67</v>
      </c>
      <c r="AB229" s="124"/>
      <c r="AC229" s="172"/>
      <c r="AD229" s="61"/>
      <c r="AE229" s="61"/>
      <c r="AF229" s="61">
        <v>6600000</v>
      </c>
      <c r="AG229" s="116"/>
      <c r="AH229" s="116"/>
    </row>
    <row r="230" spans="1:34" ht="24.95" customHeight="1" x14ac:dyDescent="0.25">
      <c r="A230" s="132">
        <v>86101600</v>
      </c>
      <c r="B230" s="295" t="s">
        <v>58</v>
      </c>
      <c r="C230" s="295" t="s">
        <v>59</v>
      </c>
      <c r="D230" s="295" t="s">
        <v>60</v>
      </c>
      <c r="E230" s="116" t="s">
        <v>1134</v>
      </c>
      <c r="F230" s="116" t="s">
        <v>1138</v>
      </c>
      <c r="G230" s="132">
        <v>6</v>
      </c>
      <c r="H230" s="133">
        <v>6</v>
      </c>
      <c r="I230" s="133">
        <v>6</v>
      </c>
      <c r="J230" s="133">
        <v>0</v>
      </c>
      <c r="K230" s="116" t="s">
        <v>83</v>
      </c>
      <c r="L230" s="115" t="s">
        <v>67</v>
      </c>
      <c r="M230" s="61">
        <f>499680-499680</f>
        <v>0</v>
      </c>
      <c r="N230" s="61"/>
      <c r="O230" s="61"/>
      <c r="P230" s="61"/>
      <c r="Q230" s="145"/>
      <c r="R230" s="61">
        <v>499680</v>
      </c>
      <c r="S230" s="145" t="s">
        <v>63</v>
      </c>
      <c r="T230" s="116" t="s">
        <v>66</v>
      </c>
      <c r="U230" s="61">
        <v>0</v>
      </c>
      <c r="V230" s="116" t="s">
        <v>67</v>
      </c>
      <c r="W230" s="116" t="s">
        <v>68</v>
      </c>
      <c r="X230" s="116" t="s">
        <v>69</v>
      </c>
      <c r="Y230" s="132">
        <v>3422121</v>
      </c>
      <c r="Z230" s="134"/>
      <c r="AA230" s="124" t="s">
        <v>67</v>
      </c>
      <c r="AB230" s="124"/>
      <c r="AC230" s="172"/>
      <c r="AD230" s="61"/>
      <c r="AE230" s="61"/>
      <c r="AF230" s="61">
        <v>499680</v>
      </c>
      <c r="AG230" s="116"/>
      <c r="AH230" s="116"/>
    </row>
    <row r="231" spans="1:34" ht="24.95" customHeight="1" x14ac:dyDescent="0.25">
      <c r="A231" s="132">
        <v>86101600</v>
      </c>
      <c r="B231" s="295" t="s">
        <v>58</v>
      </c>
      <c r="C231" s="295" t="s">
        <v>59</v>
      </c>
      <c r="D231" s="295" t="s">
        <v>60</v>
      </c>
      <c r="E231" s="116" t="s">
        <v>1134</v>
      </c>
      <c r="F231" s="116" t="s">
        <v>1139</v>
      </c>
      <c r="G231" s="132">
        <v>6</v>
      </c>
      <c r="H231" s="133">
        <v>6</v>
      </c>
      <c r="I231" s="133">
        <v>6</v>
      </c>
      <c r="J231" s="133">
        <v>0</v>
      </c>
      <c r="K231" s="116" t="s">
        <v>83</v>
      </c>
      <c r="L231" s="115" t="s">
        <v>67</v>
      </c>
      <c r="M231" s="61">
        <f>360000-360000</f>
        <v>0</v>
      </c>
      <c r="N231" s="61"/>
      <c r="O231" s="61"/>
      <c r="P231" s="61"/>
      <c r="Q231" s="145"/>
      <c r="R231" s="61">
        <v>360000</v>
      </c>
      <c r="S231" s="145" t="s">
        <v>63</v>
      </c>
      <c r="T231" s="116" t="s">
        <v>66</v>
      </c>
      <c r="U231" s="61">
        <v>0</v>
      </c>
      <c r="V231" s="116" t="s">
        <v>67</v>
      </c>
      <c r="W231" s="116" t="s">
        <v>68</v>
      </c>
      <c r="X231" s="116" t="s">
        <v>69</v>
      </c>
      <c r="Y231" s="132">
        <v>3422121</v>
      </c>
      <c r="Z231" s="134"/>
      <c r="AA231" s="124" t="s">
        <v>67</v>
      </c>
      <c r="AB231" s="124"/>
      <c r="AC231" s="172"/>
      <c r="AD231" s="61"/>
      <c r="AE231" s="61"/>
      <c r="AF231" s="61">
        <v>360000</v>
      </c>
      <c r="AG231" s="116"/>
      <c r="AH231" s="116"/>
    </row>
    <row r="232" spans="1:34" ht="24.95" customHeight="1" x14ac:dyDescent="0.25">
      <c r="A232" s="132">
        <v>86101600</v>
      </c>
      <c r="B232" s="295" t="s">
        <v>58</v>
      </c>
      <c r="C232" s="295" t="s">
        <v>59</v>
      </c>
      <c r="D232" s="295" t="s">
        <v>60</v>
      </c>
      <c r="E232" s="116" t="s">
        <v>1134</v>
      </c>
      <c r="F232" s="116" t="s">
        <v>1140</v>
      </c>
      <c r="G232" s="132">
        <v>6</v>
      </c>
      <c r="H232" s="133">
        <v>6</v>
      </c>
      <c r="I232" s="133">
        <v>6</v>
      </c>
      <c r="J232" s="133">
        <v>0</v>
      </c>
      <c r="K232" s="116" t="s">
        <v>83</v>
      </c>
      <c r="L232" s="115" t="s">
        <v>67</v>
      </c>
      <c r="M232" s="61">
        <f>192000-192000</f>
        <v>0</v>
      </c>
      <c r="N232" s="61"/>
      <c r="O232" s="61"/>
      <c r="P232" s="61"/>
      <c r="Q232" s="145"/>
      <c r="R232" s="61">
        <v>192000</v>
      </c>
      <c r="S232" s="145" t="s">
        <v>63</v>
      </c>
      <c r="T232" s="116" t="s">
        <v>66</v>
      </c>
      <c r="U232" s="61">
        <v>0</v>
      </c>
      <c r="V232" s="116" t="s">
        <v>67</v>
      </c>
      <c r="W232" s="116" t="s">
        <v>68</v>
      </c>
      <c r="X232" s="116" t="s">
        <v>69</v>
      </c>
      <c r="Y232" s="132">
        <v>3422121</v>
      </c>
      <c r="Z232" s="134"/>
      <c r="AA232" s="124" t="s">
        <v>67</v>
      </c>
      <c r="AB232" s="124"/>
      <c r="AC232" s="172"/>
      <c r="AD232" s="61"/>
      <c r="AE232" s="61"/>
      <c r="AF232" s="61">
        <v>192000</v>
      </c>
      <c r="AG232" s="116"/>
      <c r="AH232" s="116"/>
    </row>
    <row r="233" spans="1:34" ht="24.95" customHeight="1" x14ac:dyDescent="0.25">
      <c r="A233" s="26">
        <v>81111500</v>
      </c>
      <c r="B233" s="36" t="s">
        <v>58</v>
      </c>
      <c r="C233" s="36" t="s">
        <v>59</v>
      </c>
      <c r="D233" s="36" t="s">
        <v>60</v>
      </c>
      <c r="E233" s="21" t="s">
        <v>89</v>
      </c>
      <c r="F233" s="21" t="s">
        <v>1141</v>
      </c>
      <c r="G233" s="26">
        <v>1</v>
      </c>
      <c r="H233" s="22">
        <v>1</v>
      </c>
      <c r="I233" s="22">
        <v>11</v>
      </c>
      <c r="J233" s="22">
        <v>15</v>
      </c>
      <c r="K233" s="21" t="s">
        <v>83</v>
      </c>
      <c r="L233" s="21" t="s">
        <v>3</v>
      </c>
      <c r="M233" s="23">
        <v>57341645</v>
      </c>
      <c r="N233" s="23" t="s">
        <v>867</v>
      </c>
      <c r="O233" s="86" t="s">
        <v>8</v>
      </c>
      <c r="P233" s="509">
        <v>201891000290</v>
      </c>
      <c r="Q233" s="86" t="s">
        <v>949</v>
      </c>
      <c r="R233" s="45">
        <v>57341645</v>
      </c>
      <c r="S233" s="86" t="s">
        <v>67</v>
      </c>
      <c r="T233" s="21" t="s">
        <v>66</v>
      </c>
      <c r="U233" s="23">
        <v>0</v>
      </c>
      <c r="V233" s="21" t="s">
        <v>67</v>
      </c>
      <c r="W233" s="21" t="s">
        <v>68</v>
      </c>
      <c r="X233" s="21" t="s">
        <v>69</v>
      </c>
      <c r="Y233" s="26">
        <v>3422121</v>
      </c>
      <c r="Z233" s="27" t="s">
        <v>70</v>
      </c>
      <c r="AA233" s="13" t="s">
        <v>67</v>
      </c>
      <c r="AB233" s="13"/>
      <c r="AC233" s="171"/>
      <c r="AD233" s="23"/>
      <c r="AE233" s="23"/>
      <c r="AF233" s="23">
        <v>57341645</v>
      </c>
      <c r="AG233" s="21" t="s">
        <v>1142</v>
      </c>
      <c r="AH233" s="21"/>
    </row>
    <row r="234" spans="1:34" ht="24.95" customHeight="1" x14ac:dyDescent="0.25">
      <c r="A234" s="26">
        <v>86141501</v>
      </c>
      <c r="B234" s="36" t="s">
        <v>58</v>
      </c>
      <c r="C234" s="36" t="s">
        <v>59</v>
      </c>
      <c r="D234" s="36" t="s">
        <v>60</v>
      </c>
      <c r="E234" s="21" t="s">
        <v>89</v>
      </c>
      <c r="F234" s="21" t="s">
        <v>1143</v>
      </c>
      <c r="G234" s="26">
        <v>2</v>
      </c>
      <c r="H234" s="22">
        <v>2</v>
      </c>
      <c r="I234" s="22">
        <v>10</v>
      </c>
      <c r="J234" s="22">
        <v>10</v>
      </c>
      <c r="K234" s="21" t="s">
        <v>83</v>
      </c>
      <c r="L234" s="21" t="s">
        <v>3</v>
      </c>
      <c r="M234" s="23">
        <f>84975000-19722520</f>
        <v>65252480</v>
      </c>
      <c r="N234" s="23" t="s">
        <v>867</v>
      </c>
      <c r="O234" s="86" t="s">
        <v>8</v>
      </c>
      <c r="P234" s="509">
        <v>201891000290</v>
      </c>
      <c r="Q234" s="86" t="s">
        <v>949</v>
      </c>
      <c r="R234" s="45">
        <v>84975000</v>
      </c>
      <c r="S234" s="86" t="s">
        <v>67</v>
      </c>
      <c r="T234" s="21" t="s">
        <v>66</v>
      </c>
      <c r="U234" s="23">
        <v>0</v>
      </c>
      <c r="V234" s="21" t="s">
        <v>67</v>
      </c>
      <c r="W234" s="21" t="s">
        <v>68</v>
      </c>
      <c r="X234" s="21" t="s">
        <v>69</v>
      </c>
      <c r="Y234" s="26">
        <v>3422121</v>
      </c>
      <c r="Z234" s="27" t="s">
        <v>70</v>
      </c>
      <c r="AA234" s="13" t="s">
        <v>67</v>
      </c>
      <c r="AB234" s="13"/>
      <c r="AC234" s="171"/>
      <c r="AD234" s="23"/>
      <c r="AE234" s="23"/>
      <c r="AF234" s="23">
        <v>84975000</v>
      </c>
      <c r="AG234" s="21" t="s">
        <v>1144</v>
      </c>
      <c r="AH234" s="21"/>
    </row>
    <row r="235" spans="1:34" ht="24.95" customHeight="1" x14ac:dyDescent="0.25">
      <c r="A235" s="181">
        <v>80161504</v>
      </c>
      <c r="B235" s="293" t="s">
        <v>58</v>
      </c>
      <c r="C235" s="293" t="s">
        <v>59</v>
      </c>
      <c r="D235" s="293" t="s">
        <v>60</v>
      </c>
      <c r="E235" s="177" t="s">
        <v>89</v>
      </c>
      <c r="F235" s="177" t="s">
        <v>1145</v>
      </c>
      <c r="G235" s="181">
        <v>1</v>
      </c>
      <c r="H235" s="183">
        <v>1</v>
      </c>
      <c r="I235" s="183">
        <v>11</v>
      </c>
      <c r="J235" s="183">
        <v>0</v>
      </c>
      <c r="K235" s="177" t="s">
        <v>83</v>
      </c>
      <c r="L235" s="21" t="s">
        <v>10</v>
      </c>
      <c r="M235" s="178">
        <v>15000000</v>
      </c>
      <c r="N235" s="86" t="s">
        <v>877</v>
      </c>
      <c r="O235" s="86" t="s">
        <v>5</v>
      </c>
      <c r="P235" s="509">
        <v>201891000290</v>
      </c>
      <c r="Q235" s="86" t="s">
        <v>949</v>
      </c>
      <c r="R235" s="179">
        <v>15000000</v>
      </c>
      <c r="S235" s="184" t="s">
        <v>67</v>
      </c>
      <c r="T235" s="177" t="s">
        <v>66</v>
      </c>
      <c r="U235" s="178">
        <v>0</v>
      </c>
      <c r="V235" s="177" t="s">
        <v>67</v>
      </c>
      <c r="W235" s="177" t="s">
        <v>68</v>
      </c>
      <c r="X235" s="177" t="s">
        <v>69</v>
      </c>
      <c r="Y235" s="181">
        <v>3422121</v>
      </c>
      <c r="Z235" s="194" t="s">
        <v>70</v>
      </c>
      <c r="AA235" s="185" t="s">
        <v>67</v>
      </c>
      <c r="AB235" s="13"/>
      <c r="AC235" s="171"/>
      <c r="AD235" s="23"/>
      <c r="AE235" s="23"/>
      <c r="AF235" s="23">
        <v>15000000</v>
      </c>
      <c r="AG235" s="21"/>
      <c r="AH235" s="21"/>
    </row>
    <row r="236" spans="1:34" s="118" customFormat="1" ht="24.95" customHeight="1" x14ac:dyDescent="0.25">
      <c r="A236" s="101">
        <v>78111503</v>
      </c>
      <c r="B236" s="110" t="s">
        <v>58</v>
      </c>
      <c r="C236" s="110" t="s">
        <v>59</v>
      </c>
      <c r="D236" s="110" t="s">
        <v>60</v>
      </c>
      <c r="E236" s="87" t="s">
        <v>89</v>
      </c>
      <c r="F236" s="87" t="s">
        <v>1146</v>
      </c>
      <c r="G236" s="101">
        <v>2</v>
      </c>
      <c r="H236" s="88">
        <v>2</v>
      </c>
      <c r="I236" s="88">
        <v>1</v>
      </c>
      <c r="J236" s="88">
        <v>0</v>
      </c>
      <c r="K236" s="87" t="s">
        <v>83</v>
      </c>
      <c r="L236" s="21" t="s">
        <v>10</v>
      </c>
      <c r="M236" s="32">
        <v>6000000</v>
      </c>
      <c r="N236" s="86" t="s">
        <v>877</v>
      </c>
      <c r="O236" s="86" t="s">
        <v>5</v>
      </c>
      <c r="P236" s="509">
        <v>201891000290</v>
      </c>
      <c r="Q236" s="86" t="s">
        <v>949</v>
      </c>
      <c r="R236" s="32">
        <v>0</v>
      </c>
      <c r="S236" s="89" t="s">
        <v>67</v>
      </c>
      <c r="T236" s="87" t="s">
        <v>66</v>
      </c>
      <c r="U236" s="32">
        <v>0</v>
      </c>
      <c r="V236" s="87" t="s">
        <v>67</v>
      </c>
      <c r="W236" s="87" t="s">
        <v>68</v>
      </c>
      <c r="X236" s="87" t="s">
        <v>69</v>
      </c>
      <c r="Y236" s="101">
        <v>3422121</v>
      </c>
      <c r="Z236" s="90" t="s">
        <v>70</v>
      </c>
      <c r="AA236" s="117" t="s">
        <v>67</v>
      </c>
      <c r="AB236" s="117"/>
      <c r="AC236" s="173"/>
      <c r="AD236" s="32"/>
      <c r="AE236" s="32"/>
      <c r="AF236" s="32"/>
      <c r="AG236" s="87"/>
      <c r="AH236" s="87"/>
    </row>
    <row r="237" spans="1:34" ht="24.95" customHeight="1" x14ac:dyDescent="0.25">
      <c r="A237" s="216">
        <v>80161504</v>
      </c>
      <c r="B237" s="292" t="s">
        <v>58</v>
      </c>
      <c r="C237" s="292" t="s">
        <v>59</v>
      </c>
      <c r="D237" s="292" t="s">
        <v>60</v>
      </c>
      <c r="E237" s="214" t="s">
        <v>89</v>
      </c>
      <c r="F237" s="214" t="s">
        <v>90</v>
      </c>
      <c r="G237" s="216">
        <v>1</v>
      </c>
      <c r="H237" s="237">
        <v>1</v>
      </c>
      <c r="I237" s="237">
        <v>10</v>
      </c>
      <c r="J237" s="237">
        <v>0</v>
      </c>
      <c r="K237" s="214" t="s">
        <v>83</v>
      </c>
      <c r="L237" s="21" t="s">
        <v>10</v>
      </c>
      <c r="M237" s="215">
        <f>+R237</f>
        <v>3000000</v>
      </c>
      <c r="N237" s="86" t="s">
        <v>877</v>
      </c>
      <c r="O237" s="86" t="s">
        <v>5</v>
      </c>
      <c r="P237" s="509">
        <v>201891000290</v>
      </c>
      <c r="Q237" s="86" t="s">
        <v>949</v>
      </c>
      <c r="R237" s="219">
        <v>3000000</v>
      </c>
      <c r="S237" s="220" t="s">
        <v>63</v>
      </c>
      <c r="T237" s="214" t="s">
        <v>66</v>
      </c>
      <c r="U237" s="215">
        <v>0</v>
      </c>
      <c r="V237" s="214" t="s">
        <v>67</v>
      </c>
      <c r="W237" s="214" t="s">
        <v>68</v>
      </c>
      <c r="X237" s="214" t="s">
        <v>69</v>
      </c>
      <c r="Y237" s="216">
        <v>3422121</v>
      </c>
      <c r="Z237" s="253" t="s">
        <v>70</v>
      </c>
      <c r="AA237" s="229" t="s">
        <v>67</v>
      </c>
      <c r="AB237" s="13"/>
      <c r="AC237" s="171"/>
      <c r="AD237" s="23"/>
      <c r="AE237" s="23"/>
      <c r="AF237" s="23">
        <v>3000000</v>
      </c>
      <c r="AG237" s="21"/>
      <c r="AH237" s="21"/>
    </row>
    <row r="238" spans="1:34" ht="24.95" customHeight="1" x14ac:dyDescent="0.25">
      <c r="A238" s="26">
        <v>80161504</v>
      </c>
      <c r="B238" s="36" t="s">
        <v>58</v>
      </c>
      <c r="C238" s="36" t="s">
        <v>59</v>
      </c>
      <c r="D238" s="36" t="s">
        <v>60</v>
      </c>
      <c r="E238" s="21" t="s">
        <v>91</v>
      </c>
      <c r="F238" s="21" t="s">
        <v>1147</v>
      </c>
      <c r="G238" s="26">
        <v>1</v>
      </c>
      <c r="H238" s="22">
        <v>1</v>
      </c>
      <c r="I238" s="22">
        <v>11</v>
      </c>
      <c r="J238" s="22">
        <v>0</v>
      </c>
      <c r="K238" s="21" t="s">
        <v>83</v>
      </c>
      <c r="L238" s="21" t="s">
        <v>3</v>
      </c>
      <c r="M238" s="23">
        <v>65252484</v>
      </c>
      <c r="N238" s="23" t="s">
        <v>867</v>
      </c>
      <c r="O238" s="86" t="s">
        <v>8</v>
      </c>
      <c r="P238" s="509">
        <v>201891000290</v>
      </c>
      <c r="Q238" s="86" t="s">
        <v>949</v>
      </c>
      <c r="R238" s="45">
        <v>65252483.780000001</v>
      </c>
      <c r="S238" s="86" t="s">
        <v>67</v>
      </c>
      <c r="T238" s="21" t="s">
        <v>66</v>
      </c>
      <c r="U238" s="23">
        <v>0</v>
      </c>
      <c r="V238" s="21" t="s">
        <v>67</v>
      </c>
      <c r="W238" s="21" t="s">
        <v>68</v>
      </c>
      <c r="X238" s="21" t="s">
        <v>69</v>
      </c>
      <c r="Y238" s="26">
        <v>3422121</v>
      </c>
      <c r="Z238" s="27" t="s">
        <v>70</v>
      </c>
      <c r="AA238" s="13" t="s">
        <v>67</v>
      </c>
      <c r="AB238" s="13"/>
      <c r="AC238" s="171"/>
      <c r="AD238" s="23"/>
      <c r="AE238" s="23"/>
      <c r="AF238" s="23">
        <v>65252484</v>
      </c>
      <c r="AG238" s="21"/>
      <c r="AH238" s="21"/>
    </row>
    <row r="239" spans="1:34" ht="24.95" customHeight="1" x14ac:dyDescent="0.25">
      <c r="A239" s="26">
        <v>85121608</v>
      </c>
      <c r="B239" s="36" t="s">
        <v>58</v>
      </c>
      <c r="C239" s="36" t="s">
        <v>59</v>
      </c>
      <c r="D239" s="36" t="s">
        <v>60</v>
      </c>
      <c r="E239" s="21" t="s">
        <v>91</v>
      </c>
      <c r="F239" s="21" t="s">
        <v>1148</v>
      </c>
      <c r="G239" s="26">
        <v>2</v>
      </c>
      <c r="H239" s="22">
        <v>2</v>
      </c>
      <c r="I239" s="22">
        <v>10</v>
      </c>
      <c r="J239" s="22">
        <v>0</v>
      </c>
      <c r="K239" s="21" t="s">
        <v>83</v>
      </c>
      <c r="L239" s="21" t="s">
        <v>3</v>
      </c>
      <c r="M239" s="23">
        <v>42408190</v>
      </c>
      <c r="N239" s="23" t="s">
        <v>867</v>
      </c>
      <c r="O239" s="86" t="s">
        <v>8</v>
      </c>
      <c r="P239" s="509">
        <v>201891000290</v>
      </c>
      <c r="Q239" s="86" t="s">
        <v>949</v>
      </c>
      <c r="R239" s="45">
        <v>42408190</v>
      </c>
      <c r="S239" s="86" t="s">
        <v>67</v>
      </c>
      <c r="T239" s="21" t="s">
        <v>66</v>
      </c>
      <c r="U239" s="23">
        <v>0</v>
      </c>
      <c r="V239" s="21" t="s">
        <v>67</v>
      </c>
      <c r="W239" s="21" t="s">
        <v>68</v>
      </c>
      <c r="X239" s="21" t="s">
        <v>69</v>
      </c>
      <c r="Y239" s="26">
        <v>3422121</v>
      </c>
      <c r="Z239" s="27" t="s">
        <v>70</v>
      </c>
      <c r="AA239" s="13" t="s">
        <v>67</v>
      </c>
      <c r="AB239" s="13"/>
      <c r="AC239" s="171"/>
      <c r="AD239" s="23"/>
      <c r="AE239" s="23"/>
      <c r="AF239" s="23">
        <v>42408190</v>
      </c>
      <c r="AG239" s="21"/>
      <c r="AH239" s="21"/>
    </row>
    <row r="240" spans="1:34" ht="24.95" customHeight="1" x14ac:dyDescent="0.25">
      <c r="A240" s="26">
        <v>86101600</v>
      </c>
      <c r="B240" s="36" t="s">
        <v>58</v>
      </c>
      <c r="C240" s="36" t="s">
        <v>59</v>
      </c>
      <c r="D240" s="36" t="s">
        <v>60</v>
      </c>
      <c r="E240" s="21" t="s">
        <v>91</v>
      </c>
      <c r="F240" s="21" t="s">
        <v>1149</v>
      </c>
      <c r="G240" s="26">
        <v>2</v>
      </c>
      <c r="H240" s="22">
        <v>2</v>
      </c>
      <c r="I240" s="22">
        <v>11</v>
      </c>
      <c r="J240" s="22">
        <v>0</v>
      </c>
      <c r="K240" s="21" t="s">
        <v>83</v>
      </c>
      <c r="L240" s="21" t="s">
        <v>3</v>
      </c>
      <c r="M240" s="23">
        <v>11950000</v>
      </c>
      <c r="N240" s="23" t="s">
        <v>867</v>
      </c>
      <c r="O240" s="86" t="s">
        <v>8</v>
      </c>
      <c r="P240" s="509">
        <v>201891000290</v>
      </c>
      <c r="Q240" s="86" t="s">
        <v>949</v>
      </c>
      <c r="R240" s="45">
        <v>15000000</v>
      </c>
      <c r="S240" s="86" t="s">
        <v>63</v>
      </c>
      <c r="T240" s="21" t="s">
        <v>66</v>
      </c>
      <c r="U240" s="23">
        <v>0</v>
      </c>
      <c r="V240" s="21" t="s">
        <v>67</v>
      </c>
      <c r="W240" s="21" t="s">
        <v>68</v>
      </c>
      <c r="X240" s="21" t="s">
        <v>69</v>
      </c>
      <c r="Y240" s="26">
        <v>3422121</v>
      </c>
      <c r="Z240" s="27" t="s">
        <v>70</v>
      </c>
      <c r="AA240" s="13" t="s">
        <v>67</v>
      </c>
      <c r="AB240" s="13"/>
      <c r="AC240" s="171"/>
      <c r="AD240" s="23"/>
      <c r="AE240" s="23"/>
      <c r="AF240" s="23">
        <v>11950000</v>
      </c>
      <c r="AG240" s="21" t="s">
        <v>1150</v>
      </c>
      <c r="AH240" s="21"/>
    </row>
    <row r="241" spans="1:34" ht="24" customHeight="1" x14ac:dyDescent="0.25">
      <c r="A241" s="26">
        <v>86101600</v>
      </c>
      <c r="B241" s="36" t="s">
        <v>58</v>
      </c>
      <c r="C241" s="36" t="s">
        <v>59</v>
      </c>
      <c r="D241" s="36" t="s">
        <v>60</v>
      </c>
      <c r="E241" s="21" t="s">
        <v>91</v>
      </c>
      <c r="F241" s="21" t="s">
        <v>1151</v>
      </c>
      <c r="G241" s="26">
        <v>2</v>
      </c>
      <c r="H241" s="22">
        <v>2</v>
      </c>
      <c r="I241" s="22">
        <v>11</v>
      </c>
      <c r="J241" s="22">
        <v>0</v>
      </c>
      <c r="K241" s="21" t="s">
        <v>83</v>
      </c>
      <c r="L241" s="21" t="s">
        <v>10</v>
      </c>
      <c r="M241" s="23">
        <v>4000000</v>
      </c>
      <c r="N241" s="86" t="s">
        <v>867</v>
      </c>
      <c r="O241" s="86" t="s">
        <v>8</v>
      </c>
      <c r="P241" s="509">
        <v>201891000290</v>
      </c>
      <c r="Q241" s="86" t="s">
        <v>949</v>
      </c>
      <c r="R241" s="45">
        <v>3000000</v>
      </c>
      <c r="S241" s="86" t="s">
        <v>67</v>
      </c>
      <c r="T241" s="21" t="s">
        <v>66</v>
      </c>
      <c r="U241" s="23">
        <v>0</v>
      </c>
      <c r="V241" s="21" t="s">
        <v>67</v>
      </c>
      <c r="W241" s="21" t="s">
        <v>68</v>
      </c>
      <c r="X241" s="21" t="s">
        <v>69</v>
      </c>
      <c r="Y241" s="26">
        <v>3422121</v>
      </c>
      <c r="Z241" s="27" t="s">
        <v>70</v>
      </c>
      <c r="AA241" s="13" t="s">
        <v>67</v>
      </c>
      <c r="AB241" s="13"/>
      <c r="AC241" s="171"/>
      <c r="AD241" s="23"/>
      <c r="AE241" s="23"/>
      <c r="AF241" s="23">
        <v>4000000</v>
      </c>
      <c r="AG241" s="21"/>
      <c r="AH241" s="21"/>
    </row>
    <row r="242" spans="1:34" ht="15" customHeight="1" x14ac:dyDescent="0.25">
      <c r="A242" s="128">
        <v>86101600</v>
      </c>
      <c r="B242" s="294" t="s">
        <v>58</v>
      </c>
      <c r="C242" s="294" t="s">
        <v>59</v>
      </c>
      <c r="D242" s="294" t="s">
        <v>60</v>
      </c>
      <c r="E242" s="69" t="s">
        <v>91</v>
      </c>
      <c r="F242" s="69" t="s">
        <v>1152</v>
      </c>
      <c r="G242" s="69">
        <v>3</v>
      </c>
      <c r="H242" s="129">
        <v>3</v>
      </c>
      <c r="I242" s="129">
        <v>10</v>
      </c>
      <c r="J242" s="129">
        <v>0</v>
      </c>
      <c r="K242" s="69" t="s">
        <v>83</v>
      </c>
      <c r="L242" s="115" t="s">
        <v>67</v>
      </c>
      <c r="M242" s="119">
        <f>1500000*9-13500000</f>
        <v>0</v>
      </c>
      <c r="N242" s="119"/>
      <c r="O242" s="119"/>
      <c r="P242" s="119"/>
      <c r="Q242" s="143"/>
      <c r="R242" s="45"/>
      <c r="S242" s="143" t="s">
        <v>67</v>
      </c>
      <c r="T242" s="69" t="s">
        <v>66</v>
      </c>
      <c r="U242" s="119">
        <v>0</v>
      </c>
      <c r="V242" s="69" t="s">
        <v>67</v>
      </c>
      <c r="W242" s="69" t="s">
        <v>68</v>
      </c>
      <c r="X242" s="69" t="s">
        <v>69</v>
      </c>
      <c r="Y242" s="128">
        <v>3422121</v>
      </c>
      <c r="Z242" s="130" t="s">
        <v>70</v>
      </c>
      <c r="AA242" s="70" t="s">
        <v>67</v>
      </c>
      <c r="AB242" s="70"/>
      <c r="AC242" s="170"/>
      <c r="AD242" s="119"/>
      <c r="AE242" s="119"/>
      <c r="AF242" s="119">
        <v>13500000</v>
      </c>
      <c r="AG242" s="69" t="s">
        <v>1153</v>
      </c>
      <c r="AH242" s="69"/>
    </row>
    <row r="243" spans="1:34" ht="24.95" customHeight="1" x14ac:dyDescent="0.25">
      <c r="A243" s="26">
        <v>86101600</v>
      </c>
      <c r="B243" s="36" t="s">
        <v>58</v>
      </c>
      <c r="C243" s="36" t="s">
        <v>59</v>
      </c>
      <c r="D243" s="36" t="s">
        <v>60</v>
      </c>
      <c r="E243" s="21" t="s">
        <v>91</v>
      </c>
      <c r="F243" s="21" t="s">
        <v>93</v>
      </c>
      <c r="G243" s="21">
        <v>2</v>
      </c>
      <c r="H243" s="22">
        <v>2</v>
      </c>
      <c r="I243" s="22">
        <v>0</v>
      </c>
      <c r="J243" s="22">
        <v>0</v>
      </c>
      <c r="K243" s="21" t="s">
        <v>83</v>
      </c>
      <c r="L243" s="21" t="s">
        <v>3</v>
      </c>
      <c r="M243" s="23">
        <f>(1000000*2)-123265</f>
        <v>1876735</v>
      </c>
      <c r="N243" s="23" t="s">
        <v>867</v>
      </c>
      <c r="O243" s="86" t="s">
        <v>8</v>
      </c>
      <c r="P243" s="509">
        <v>201891000290</v>
      </c>
      <c r="Q243" s="86" t="s">
        <v>949</v>
      </c>
      <c r="R243" s="45">
        <v>2000000</v>
      </c>
      <c r="S243" s="86" t="s">
        <v>63</v>
      </c>
      <c r="T243" s="21" t="s">
        <v>66</v>
      </c>
      <c r="U243" s="23">
        <v>0</v>
      </c>
      <c r="V243" s="21" t="s">
        <v>67</v>
      </c>
      <c r="W243" s="21" t="s">
        <v>68</v>
      </c>
      <c r="X243" s="21" t="s">
        <v>69</v>
      </c>
      <c r="Y243" s="26">
        <v>3422121</v>
      </c>
      <c r="Z243" s="27" t="s">
        <v>70</v>
      </c>
      <c r="AA243" s="13" t="s">
        <v>67</v>
      </c>
      <c r="AB243" s="13"/>
      <c r="AC243" s="171"/>
      <c r="AD243" s="23"/>
      <c r="AE243" s="23"/>
      <c r="AF243" s="23">
        <v>2000000</v>
      </c>
      <c r="AG243" s="21"/>
      <c r="AH243" s="21"/>
    </row>
    <row r="244" spans="1:34" ht="24.95" customHeight="1" x14ac:dyDescent="0.25">
      <c r="A244" s="26">
        <v>86101600</v>
      </c>
      <c r="B244" s="36" t="s">
        <v>58</v>
      </c>
      <c r="C244" s="36" t="s">
        <v>59</v>
      </c>
      <c r="D244" s="36" t="s">
        <v>60</v>
      </c>
      <c r="E244" s="21" t="s">
        <v>91</v>
      </c>
      <c r="F244" s="21" t="s">
        <v>93</v>
      </c>
      <c r="G244" s="21"/>
      <c r="H244" s="22"/>
      <c r="I244" s="22"/>
      <c r="J244" s="22"/>
      <c r="K244" s="21"/>
      <c r="L244" s="21" t="s">
        <v>10</v>
      </c>
      <c r="M244" s="23">
        <v>123265</v>
      </c>
      <c r="N244" s="86" t="s">
        <v>867</v>
      </c>
      <c r="O244" s="86" t="s">
        <v>8</v>
      </c>
      <c r="P244" s="509">
        <v>201891000290</v>
      </c>
      <c r="Q244" s="86" t="s">
        <v>949</v>
      </c>
      <c r="R244" s="45"/>
      <c r="S244" s="86" t="s">
        <v>63</v>
      </c>
      <c r="T244" s="21" t="s">
        <v>66</v>
      </c>
      <c r="U244" s="23">
        <v>0</v>
      </c>
      <c r="V244" s="21" t="s">
        <v>67</v>
      </c>
      <c r="W244" s="21" t="s">
        <v>68</v>
      </c>
      <c r="X244" s="21" t="s">
        <v>69</v>
      </c>
      <c r="Y244" s="26">
        <v>3422121</v>
      </c>
      <c r="Z244" s="27" t="s">
        <v>70</v>
      </c>
      <c r="AA244" s="13" t="s">
        <v>67</v>
      </c>
      <c r="AB244" s="13"/>
      <c r="AC244" s="171"/>
      <c r="AD244" s="23"/>
      <c r="AE244" s="23"/>
      <c r="AF244" s="23"/>
      <c r="AG244" s="21"/>
      <c r="AH244" s="21"/>
    </row>
    <row r="245" spans="1:34" ht="24.95" customHeight="1" x14ac:dyDescent="0.25">
      <c r="A245" s="26">
        <v>80101507</v>
      </c>
      <c r="B245" s="36" t="s">
        <v>270</v>
      </c>
      <c r="C245" s="36" t="s">
        <v>271</v>
      </c>
      <c r="D245" s="36" t="s">
        <v>203</v>
      </c>
      <c r="E245" s="21" t="s">
        <v>272</v>
      </c>
      <c r="F245" s="21" t="s">
        <v>273</v>
      </c>
      <c r="G245" s="26">
        <v>1</v>
      </c>
      <c r="H245" s="22">
        <v>1</v>
      </c>
      <c r="I245" s="22">
        <v>10</v>
      </c>
      <c r="J245" s="22">
        <v>1</v>
      </c>
      <c r="K245" s="21" t="s">
        <v>83</v>
      </c>
      <c r="L245" s="21" t="s">
        <v>3</v>
      </c>
      <c r="M245" s="23">
        <f>50000000-523634+240471-216837-4500000</f>
        <v>45000000</v>
      </c>
      <c r="N245" s="23"/>
      <c r="O245" s="51" t="s">
        <v>12</v>
      </c>
      <c r="P245" s="51" t="s">
        <v>887</v>
      </c>
      <c r="Q245" s="86"/>
      <c r="R245" s="23">
        <v>61850470</v>
      </c>
      <c r="S245" s="86" t="s">
        <v>67</v>
      </c>
      <c r="T245" s="21" t="s">
        <v>66</v>
      </c>
      <c r="U245" s="23">
        <v>0</v>
      </c>
      <c r="V245" s="21" t="s">
        <v>67</v>
      </c>
      <c r="W245" s="21" t="s">
        <v>68</v>
      </c>
      <c r="X245" s="21" t="s">
        <v>274</v>
      </c>
      <c r="Y245" s="26">
        <v>3422121</v>
      </c>
      <c r="Z245" s="27" t="s">
        <v>275</v>
      </c>
      <c r="AA245" s="13" t="s">
        <v>67</v>
      </c>
      <c r="AB245" s="13"/>
      <c r="AC245" s="171"/>
      <c r="AD245" s="23"/>
      <c r="AE245" s="23"/>
      <c r="AF245" s="23"/>
      <c r="AG245" s="21"/>
      <c r="AH245" s="21"/>
    </row>
    <row r="246" spans="1:34" ht="24.95" customHeight="1" x14ac:dyDescent="0.25">
      <c r="A246" s="26">
        <v>80101508</v>
      </c>
      <c r="B246" s="36" t="s">
        <v>270</v>
      </c>
      <c r="C246" s="36" t="s">
        <v>271</v>
      </c>
      <c r="D246" s="36" t="s">
        <v>203</v>
      </c>
      <c r="E246" s="21" t="s">
        <v>1154</v>
      </c>
      <c r="F246" s="21" t="s">
        <v>1155</v>
      </c>
      <c r="G246" s="26">
        <v>1</v>
      </c>
      <c r="H246" s="22">
        <v>1</v>
      </c>
      <c r="I246" s="22">
        <v>2</v>
      </c>
      <c r="J246" s="22">
        <v>1</v>
      </c>
      <c r="K246" s="21" t="s">
        <v>83</v>
      </c>
      <c r="L246" s="21" t="s">
        <v>3</v>
      </c>
      <c r="M246" s="23">
        <f>9000000</f>
        <v>9000000</v>
      </c>
      <c r="N246" s="23"/>
      <c r="O246" s="51" t="s">
        <v>14</v>
      </c>
      <c r="P246" s="51" t="s">
        <v>890</v>
      </c>
      <c r="Q246" s="86"/>
      <c r="R246" s="23">
        <v>0</v>
      </c>
      <c r="S246" s="86" t="s">
        <v>67</v>
      </c>
      <c r="T246" s="21" t="s">
        <v>66</v>
      </c>
      <c r="U246" s="23">
        <v>0</v>
      </c>
      <c r="V246" s="21" t="s">
        <v>67</v>
      </c>
      <c r="W246" s="21" t="s">
        <v>68</v>
      </c>
      <c r="X246" s="21" t="s">
        <v>274</v>
      </c>
      <c r="Y246" s="26">
        <v>3422121</v>
      </c>
      <c r="Z246" s="27" t="s">
        <v>275</v>
      </c>
      <c r="AA246" s="13" t="s">
        <v>67</v>
      </c>
      <c r="AB246" s="13"/>
      <c r="AC246" s="171"/>
      <c r="AD246" s="23"/>
      <c r="AE246" s="23"/>
      <c r="AF246" s="23"/>
      <c r="AG246" s="21"/>
      <c r="AH246" s="21"/>
    </row>
    <row r="247" spans="1:34" ht="24.95" customHeight="1" x14ac:dyDescent="0.25">
      <c r="A247" s="26" t="s">
        <v>1156</v>
      </c>
      <c r="B247" s="21" t="s">
        <v>270</v>
      </c>
      <c r="C247" s="21" t="s">
        <v>271</v>
      </c>
      <c r="D247" s="36" t="s">
        <v>203</v>
      </c>
      <c r="E247" s="21" t="s">
        <v>450</v>
      </c>
      <c r="F247" s="21" t="s">
        <v>1157</v>
      </c>
      <c r="G247" s="26">
        <v>1</v>
      </c>
      <c r="H247" s="22">
        <v>1</v>
      </c>
      <c r="I247" s="22">
        <v>10</v>
      </c>
      <c r="J247" s="22">
        <v>10</v>
      </c>
      <c r="K247" s="21" t="s">
        <v>83</v>
      </c>
      <c r="L247" s="21" t="s">
        <v>3</v>
      </c>
      <c r="M247" s="23">
        <f>(59759529/11.5)*9.5+21522+4500000</f>
        <v>53888089.434782609</v>
      </c>
      <c r="N247" s="23"/>
      <c r="O247" s="51" t="s">
        <v>14</v>
      </c>
      <c r="P247" s="51" t="s">
        <v>890</v>
      </c>
      <c r="Q247" s="86"/>
      <c r="R247" s="45">
        <v>59759529</v>
      </c>
      <c r="S247" s="23"/>
      <c r="T247" s="21" t="s">
        <v>66</v>
      </c>
      <c r="U247" s="23">
        <v>0</v>
      </c>
      <c r="V247" s="21" t="s">
        <v>67</v>
      </c>
      <c r="W247" s="21" t="s">
        <v>68</v>
      </c>
      <c r="X247" s="21" t="s">
        <v>274</v>
      </c>
      <c r="Y247" s="21">
        <v>3422121</v>
      </c>
      <c r="Z247" s="27" t="s">
        <v>275</v>
      </c>
      <c r="AA247" s="13"/>
      <c r="AB247" s="13"/>
      <c r="AC247" s="171"/>
      <c r="AD247" s="23"/>
      <c r="AE247" s="23"/>
      <c r="AF247" s="23"/>
      <c r="AG247" s="21"/>
      <c r="AH247" s="21"/>
    </row>
    <row r="248" spans="1:34" ht="24.95" customHeight="1" x14ac:dyDescent="0.25">
      <c r="A248" s="26" t="s">
        <v>280</v>
      </c>
      <c r="B248" s="36" t="s">
        <v>270</v>
      </c>
      <c r="C248" s="36" t="s">
        <v>270</v>
      </c>
      <c r="D248" s="38" t="s">
        <v>281</v>
      </c>
      <c r="E248" s="21" t="s">
        <v>282</v>
      </c>
      <c r="F248" s="21" t="s">
        <v>283</v>
      </c>
      <c r="G248" s="26">
        <v>1</v>
      </c>
      <c r="H248" s="22">
        <v>1</v>
      </c>
      <c r="I248" s="22">
        <v>7</v>
      </c>
      <c r="J248" s="22">
        <v>1</v>
      </c>
      <c r="K248" s="21" t="s">
        <v>83</v>
      </c>
      <c r="L248" s="21" t="s">
        <v>10</v>
      </c>
      <c r="M248" s="23">
        <v>23104109</v>
      </c>
      <c r="N248" s="507" t="s">
        <v>185</v>
      </c>
      <c r="O248" s="507" t="s">
        <v>13</v>
      </c>
      <c r="P248" s="511">
        <v>2018011000284</v>
      </c>
      <c r="Q248" s="86" t="s">
        <v>950</v>
      </c>
      <c r="R248" s="23">
        <v>77000000</v>
      </c>
      <c r="S248" s="86" t="s">
        <v>67</v>
      </c>
      <c r="T248" s="21" t="s">
        <v>66</v>
      </c>
      <c r="U248" s="23">
        <v>0</v>
      </c>
      <c r="V248" s="21" t="s">
        <v>67</v>
      </c>
      <c r="W248" s="21" t="s">
        <v>68</v>
      </c>
      <c r="X248" s="21" t="s">
        <v>284</v>
      </c>
      <c r="Y248" s="26">
        <v>3422121</v>
      </c>
      <c r="Z248" s="27" t="s">
        <v>285</v>
      </c>
      <c r="AA248" s="13" t="s">
        <v>67</v>
      </c>
      <c r="AB248" s="13"/>
      <c r="AC248" s="171"/>
      <c r="AD248" s="23"/>
      <c r="AE248" s="23"/>
      <c r="AF248" s="23"/>
      <c r="AG248" s="21"/>
      <c r="AH248" s="21"/>
    </row>
    <row r="249" spans="1:34" ht="24.95" customHeight="1" x14ac:dyDescent="0.25">
      <c r="A249" s="26" t="s">
        <v>286</v>
      </c>
      <c r="B249" s="36" t="s">
        <v>270</v>
      </c>
      <c r="C249" s="36" t="s">
        <v>270</v>
      </c>
      <c r="D249" s="38" t="s">
        <v>281</v>
      </c>
      <c r="E249" s="21" t="s">
        <v>282</v>
      </c>
      <c r="F249" s="21" t="s">
        <v>283</v>
      </c>
      <c r="G249" s="26">
        <v>1</v>
      </c>
      <c r="H249" s="22">
        <v>1</v>
      </c>
      <c r="I249" s="22">
        <v>7</v>
      </c>
      <c r="J249" s="22">
        <v>1</v>
      </c>
      <c r="K249" s="21" t="s">
        <v>83</v>
      </c>
      <c r="L249" s="21" t="s">
        <v>3</v>
      </c>
      <c r="M249" s="23">
        <f>(77000000-28000000)-23104109</f>
        <v>25895891</v>
      </c>
      <c r="N249" s="540" t="s">
        <v>887</v>
      </c>
      <c r="O249" s="543" t="s">
        <v>12</v>
      </c>
      <c r="P249" s="542">
        <v>201891000284</v>
      </c>
      <c r="Q249" s="543" t="s">
        <v>950</v>
      </c>
      <c r="R249" s="23">
        <v>77000001</v>
      </c>
      <c r="S249" s="86" t="s">
        <v>67</v>
      </c>
      <c r="T249" s="21" t="s">
        <v>66</v>
      </c>
      <c r="U249" s="23">
        <v>1</v>
      </c>
      <c r="V249" s="21" t="s">
        <v>67</v>
      </c>
      <c r="W249" s="21" t="s">
        <v>68</v>
      </c>
      <c r="X249" s="21" t="s">
        <v>284</v>
      </c>
      <c r="Y249" s="26">
        <v>3422122</v>
      </c>
      <c r="Z249" s="27" t="s">
        <v>285</v>
      </c>
      <c r="AA249" s="13" t="s">
        <v>67</v>
      </c>
      <c r="AB249" s="13"/>
      <c r="AC249" s="171"/>
      <c r="AD249" s="23"/>
      <c r="AE249" s="23"/>
      <c r="AF249" s="23"/>
      <c r="AG249" s="21"/>
      <c r="AH249" s="21"/>
    </row>
    <row r="250" spans="1:34" ht="24.95" customHeight="1" x14ac:dyDescent="0.25">
      <c r="A250" s="317">
        <v>81112307</v>
      </c>
      <c r="B250" s="317" t="s">
        <v>270</v>
      </c>
      <c r="C250" s="317" t="s">
        <v>287</v>
      </c>
      <c r="D250" s="318" t="s">
        <v>288</v>
      </c>
      <c r="E250" s="318" t="s">
        <v>289</v>
      </c>
      <c r="F250" s="318" t="s">
        <v>1158</v>
      </c>
      <c r="G250" s="319">
        <v>1</v>
      </c>
      <c r="H250" s="319">
        <v>1</v>
      </c>
      <c r="I250" s="319">
        <v>10</v>
      </c>
      <c r="J250" s="333"/>
      <c r="K250" s="318" t="s">
        <v>83</v>
      </c>
      <c r="L250" s="317" t="s">
        <v>3</v>
      </c>
      <c r="M250" s="320">
        <f>2227890*10</f>
        <v>22278900</v>
      </c>
      <c r="N250" s="517" t="s">
        <v>890</v>
      </c>
      <c r="O250" s="517" t="s">
        <v>14</v>
      </c>
      <c r="P250" s="320">
        <v>201891000284</v>
      </c>
      <c r="Q250" s="517" t="s">
        <v>950</v>
      </c>
      <c r="R250" s="320">
        <v>0</v>
      </c>
      <c r="S250" s="317" t="s">
        <v>67</v>
      </c>
      <c r="T250" s="317" t="s">
        <v>66</v>
      </c>
      <c r="U250" s="320">
        <v>0</v>
      </c>
      <c r="V250" s="317" t="s">
        <v>67</v>
      </c>
      <c r="W250" s="318" t="s">
        <v>68</v>
      </c>
      <c r="X250" s="317"/>
      <c r="Y250" s="317" t="s">
        <v>1159</v>
      </c>
      <c r="Z250" s="321" t="s">
        <v>292</v>
      </c>
      <c r="AA250" s="13" t="s">
        <v>67</v>
      </c>
      <c r="AB250" s="13"/>
      <c r="AC250" s="23"/>
      <c r="AD250" s="23"/>
      <c r="AE250" s="23"/>
      <c r="AF250" s="23"/>
      <c r="AG250" s="21"/>
      <c r="AH250" s="21"/>
    </row>
    <row r="251" spans="1:34" ht="24.95" customHeight="1" x14ac:dyDescent="0.25">
      <c r="A251" s="317">
        <v>81112307</v>
      </c>
      <c r="B251" s="317" t="s">
        <v>270</v>
      </c>
      <c r="C251" s="317" t="s">
        <v>287</v>
      </c>
      <c r="D251" s="318" t="s">
        <v>288</v>
      </c>
      <c r="E251" s="318" t="s">
        <v>289</v>
      </c>
      <c r="F251" s="318" t="s">
        <v>1158</v>
      </c>
      <c r="G251" s="319">
        <v>1</v>
      </c>
      <c r="H251" s="319">
        <v>1</v>
      </c>
      <c r="I251" s="319">
        <v>10</v>
      </c>
      <c r="J251" s="333"/>
      <c r="K251" s="318" t="s">
        <v>83</v>
      </c>
      <c r="L251" s="317" t="s">
        <v>3</v>
      </c>
      <c r="M251" s="320">
        <f>2227890*10</f>
        <v>22278900</v>
      </c>
      <c r="N251" s="517" t="s">
        <v>890</v>
      </c>
      <c r="O251" s="517" t="s">
        <v>14</v>
      </c>
      <c r="P251" s="320">
        <v>201891000284</v>
      </c>
      <c r="Q251" s="517" t="s">
        <v>950</v>
      </c>
      <c r="R251" s="320">
        <v>0</v>
      </c>
      <c r="S251" s="317" t="s">
        <v>67</v>
      </c>
      <c r="T251" s="317" t="s">
        <v>66</v>
      </c>
      <c r="U251" s="320">
        <v>0</v>
      </c>
      <c r="V251" s="317" t="s">
        <v>67</v>
      </c>
      <c r="W251" s="318" t="s">
        <v>68</v>
      </c>
      <c r="X251" s="317"/>
      <c r="Y251" s="317" t="s">
        <v>1159</v>
      </c>
      <c r="Z251" s="321" t="s">
        <v>292</v>
      </c>
      <c r="AA251" s="13" t="s">
        <v>67</v>
      </c>
      <c r="AB251" s="13"/>
      <c r="AC251" s="23"/>
      <c r="AD251" s="23"/>
      <c r="AE251" s="23"/>
      <c r="AF251" s="23"/>
      <c r="AG251" s="21"/>
      <c r="AH251" s="21"/>
    </row>
    <row r="252" spans="1:34" ht="24.95" customHeight="1" x14ac:dyDescent="0.25">
      <c r="A252" s="26" t="s">
        <v>293</v>
      </c>
      <c r="B252" s="21" t="s">
        <v>270</v>
      </c>
      <c r="C252" s="60" t="s">
        <v>287</v>
      </c>
      <c r="D252" s="16" t="s">
        <v>288</v>
      </c>
      <c r="E252" s="16" t="s">
        <v>294</v>
      </c>
      <c r="F252" s="16" t="s">
        <v>295</v>
      </c>
      <c r="G252" s="22">
        <v>1</v>
      </c>
      <c r="H252" s="22">
        <v>1</v>
      </c>
      <c r="I252" s="22">
        <v>11</v>
      </c>
      <c r="J252" s="334"/>
      <c r="K252" s="16" t="s">
        <v>83</v>
      </c>
      <c r="L252" s="21" t="s">
        <v>3</v>
      </c>
      <c r="M252" s="23">
        <f>3668744*11</f>
        <v>40356184</v>
      </c>
      <c r="N252" s="517" t="s">
        <v>890</v>
      </c>
      <c r="O252" s="517" t="s">
        <v>14</v>
      </c>
      <c r="P252" s="320">
        <v>201891000284</v>
      </c>
      <c r="Q252" s="86" t="s">
        <v>950</v>
      </c>
      <c r="R252" s="23">
        <v>0</v>
      </c>
      <c r="S252" s="21" t="s">
        <v>67</v>
      </c>
      <c r="T252" s="21" t="s">
        <v>66</v>
      </c>
      <c r="U252" s="23">
        <v>0</v>
      </c>
      <c r="V252" s="21" t="s">
        <v>67</v>
      </c>
      <c r="W252" s="16" t="s">
        <v>68</v>
      </c>
      <c r="X252" s="21"/>
      <c r="Y252" s="21" t="s">
        <v>1159</v>
      </c>
      <c r="Z252" s="46" t="s">
        <v>292</v>
      </c>
      <c r="AA252" s="13" t="s">
        <v>67</v>
      </c>
      <c r="AB252" s="13"/>
      <c r="AC252" s="23"/>
      <c r="AD252" s="23"/>
      <c r="AE252" s="23"/>
      <c r="AF252" s="23"/>
      <c r="AG252" s="21"/>
      <c r="AH252" s="21"/>
    </row>
    <row r="253" spans="1:34" ht="24.95" customHeight="1" x14ac:dyDescent="0.25">
      <c r="A253" s="87">
        <v>81111603</v>
      </c>
      <c r="B253" s="87" t="s">
        <v>270</v>
      </c>
      <c r="C253" s="87" t="s">
        <v>287</v>
      </c>
      <c r="D253" s="19" t="s">
        <v>288</v>
      </c>
      <c r="E253" s="19" t="s">
        <v>294</v>
      </c>
      <c r="F253" s="19" t="s">
        <v>296</v>
      </c>
      <c r="G253" s="88">
        <v>1</v>
      </c>
      <c r="H253" s="88">
        <v>1</v>
      </c>
      <c r="I253" s="88">
        <v>10</v>
      </c>
      <c r="J253" s="135"/>
      <c r="K253" s="19" t="s">
        <v>83</v>
      </c>
      <c r="L253" s="87" t="s">
        <v>3</v>
      </c>
      <c r="M253" s="32">
        <f>40027757-20100000</f>
        <v>19927757</v>
      </c>
      <c r="N253" s="517" t="s">
        <v>890</v>
      </c>
      <c r="O253" s="517" t="s">
        <v>14</v>
      </c>
      <c r="P253" s="320">
        <v>201891000284</v>
      </c>
      <c r="Q253" s="89" t="s">
        <v>950</v>
      </c>
      <c r="R253" s="32">
        <v>0</v>
      </c>
      <c r="S253" s="87" t="s">
        <v>67</v>
      </c>
      <c r="T253" s="87" t="s">
        <v>66</v>
      </c>
      <c r="U253" s="32">
        <v>0</v>
      </c>
      <c r="V253" s="87" t="s">
        <v>67</v>
      </c>
      <c r="W253" s="19" t="s">
        <v>68</v>
      </c>
      <c r="X253" s="87"/>
      <c r="Y253" s="87" t="s">
        <v>1159</v>
      </c>
      <c r="Z253" s="322" t="s">
        <v>292</v>
      </c>
      <c r="AA253" s="13" t="s">
        <v>67</v>
      </c>
      <c r="AB253" s="13"/>
      <c r="AC253" s="23"/>
      <c r="AD253" s="23"/>
      <c r="AE253" s="23"/>
      <c r="AF253" s="23"/>
      <c r="AG253" s="21"/>
      <c r="AH253" s="21"/>
    </row>
    <row r="254" spans="1:34" ht="24.95" customHeight="1" x14ac:dyDescent="0.25">
      <c r="A254" s="323" t="s">
        <v>308</v>
      </c>
      <c r="B254" s="324" t="s">
        <v>270</v>
      </c>
      <c r="C254" s="324" t="s">
        <v>287</v>
      </c>
      <c r="D254" s="325" t="s">
        <v>288</v>
      </c>
      <c r="E254" s="325" t="s">
        <v>289</v>
      </c>
      <c r="F254" s="325" t="s">
        <v>1160</v>
      </c>
      <c r="G254" s="326">
        <v>1</v>
      </c>
      <c r="H254" s="326">
        <v>1</v>
      </c>
      <c r="I254" s="326">
        <v>11</v>
      </c>
      <c r="J254" s="335"/>
      <c r="K254" s="325" t="s">
        <v>83</v>
      </c>
      <c r="L254" s="324" t="s">
        <v>3</v>
      </c>
      <c r="M254" s="327"/>
      <c r="N254" s="517" t="s">
        <v>890</v>
      </c>
      <c r="O254" s="517" t="s">
        <v>14</v>
      </c>
      <c r="P254" s="320">
        <v>201891000284</v>
      </c>
      <c r="Q254" s="518" t="s">
        <v>950</v>
      </c>
      <c r="R254" s="327">
        <v>0</v>
      </c>
      <c r="S254" s="324" t="s">
        <v>67</v>
      </c>
      <c r="T254" s="324" t="s">
        <v>66</v>
      </c>
      <c r="U254" s="327">
        <v>0</v>
      </c>
      <c r="V254" s="324" t="s">
        <v>67</v>
      </c>
      <c r="W254" s="325" t="s">
        <v>68</v>
      </c>
      <c r="X254" s="324"/>
      <c r="Y254" s="324" t="s">
        <v>1159</v>
      </c>
      <c r="Z254" s="328" t="s">
        <v>292</v>
      </c>
      <c r="AA254" s="13" t="s">
        <v>67</v>
      </c>
      <c r="AB254" s="13"/>
      <c r="AC254" s="23"/>
      <c r="AD254" s="23"/>
      <c r="AE254" s="23"/>
      <c r="AF254" s="23"/>
      <c r="AG254" s="21"/>
      <c r="AH254" s="21"/>
    </row>
    <row r="255" spans="1:34" ht="24.95" customHeight="1" x14ac:dyDescent="0.25">
      <c r="A255" s="87">
        <v>81111600</v>
      </c>
      <c r="B255" s="87" t="s">
        <v>270</v>
      </c>
      <c r="C255" s="87" t="s">
        <v>287</v>
      </c>
      <c r="D255" s="19" t="s">
        <v>288</v>
      </c>
      <c r="E255" s="19" t="s">
        <v>294</v>
      </c>
      <c r="F255" s="19" t="s">
        <v>1161</v>
      </c>
      <c r="G255" s="88">
        <v>1</v>
      </c>
      <c r="H255" s="88">
        <v>1</v>
      </c>
      <c r="I255" s="135">
        <v>10</v>
      </c>
      <c r="J255" s="135"/>
      <c r="K255" s="19" t="s">
        <v>83</v>
      </c>
      <c r="L255" s="87" t="s">
        <v>3</v>
      </c>
      <c r="M255" s="32">
        <f>3900000*10</f>
        <v>39000000</v>
      </c>
      <c r="N255" s="517"/>
      <c r="O255" s="517"/>
      <c r="P255" s="320"/>
      <c r="Q255" s="89"/>
      <c r="R255" s="32">
        <v>0</v>
      </c>
      <c r="S255" s="87" t="s">
        <v>67</v>
      </c>
      <c r="T255" s="87" t="s">
        <v>66</v>
      </c>
      <c r="U255" s="32">
        <v>0</v>
      </c>
      <c r="V255" s="87" t="s">
        <v>67</v>
      </c>
      <c r="W255" s="19" t="s">
        <v>68</v>
      </c>
      <c r="X255" s="87"/>
      <c r="Y255" s="87" t="s">
        <v>1159</v>
      </c>
      <c r="Z255" s="322" t="s">
        <v>292</v>
      </c>
      <c r="AA255" s="13" t="s">
        <v>67</v>
      </c>
      <c r="AB255" s="13"/>
      <c r="AC255" s="23"/>
      <c r="AD255" s="23"/>
      <c r="AE255" s="23"/>
      <c r="AF255" s="23"/>
      <c r="AG255" s="21"/>
      <c r="AH255" s="21"/>
    </row>
    <row r="256" spans="1:34" ht="24.95" customHeight="1" x14ac:dyDescent="0.25">
      <c r="A256" s="101">
        <v>81111802</v>
      </c>
      <c r="B256" s="87" t="s">
        <v>270</v>
      </c>
      <c r="C256" s="87" t="s">
        <v>287</v>
      </c>
      <c r="D256" s="19" t="s">
        <v>288</v>
      </c>
      <c r="E256" s="19" t="s">
        <v>1162</v>
      </c>
      <c r="F256" s="19" t="s">
        <v>300</v>
      </c>
      <c r="G256" s="88">
        <v>1</v>
      </c>
      <c r="H256" s="88">
        <v>1</v>
      </c>
      <c r="I256" s="88">
        <v>10</v>
      </c>
      <c r="J256" s="135"/>
      <c r="K256" s="19" t="s">
        <v>83</v>
      </c>
      <c r="L256" s="87" t="s">
        <v>3</v>
      </c>
      <c r="M256" s="32">
        <f>5158123*10</f>
        <v>51581230</v>
      </c>
      <c r="N256" s="517" t="s">
        <v>890</v>
      </c>
      <c r="O256" s="517" t="s">
        <v>14</v>
      </c>
      <c r="P256" s="320">
        <v>201891000284</v>
      </c>
      <c r="Q256" s="89" t="s">
        <v>950</v>
      </c>
      <c r="R256" s="32">
        <v>0</v>
      </c>
      <c r="S256" s="87" t="s">
        <v>67</v>
      </c>
      <c r="T256" s="87" t="s">
        <v>66</v>
      </c>
      <c r="U256" s="32">
        <v>0</v>
      </c>
      <c r="V256" s="87" t="s">
        <v>67</v>
      </c>
      <c r="W256" s="19" t="s">
        <v>68</v>
      </c>
      <c r="X256" s="87"/>
      <c r="Y256" s="87" t="s">
        <v>1159</v>
      </c>
      <c r="Z256" s="322" t="s">
        <v>292</v>
      </c>
      <c r="AA256" s="13" t="s">
        <v>67</v>
      </c>
      <c r="AB256" s="13"/>
      <c r="AC256" s="62"/>
      <c r="AD256" s="62"/>
      <c r="AE256" s="62"/>
      <c r="AF256" s="62"/>
      <c r="AG256" s="21"/>
      <c r="AH256" s="15"/>
    </row>
    <row r="257" spans="1:34" ht="24.95" customHeight="1" x14ac:dyDescent="0.25">
      <c r="A257" s="101" t="s">
        <v>297</v>
      </c>
      <c r="B257" s="87" t="s">
        <v>270</v>
      </c>
      <c r="C257" s="87" t="s">
        <v>287</v>
      </c>
      <c r="D257" s="19" t="s">
        <v>288</v>
      </c>
      <c r="E257" s="19" t="s">
        <v>301</v>
      </c>
      <c r="F257" s="19" t="s">
        <v>302</v>
      </c>
      <c r="G257" s="88">
        <v>1</v>
      </c>
      <c r="H257" s="88">
        <v>1</v>
      </c>
      <c r="I257" s="88">
        <v>8</v>
      </c>
      <c r="J257" s="135"/>
      <c r="K257" s="19" t="s">
        <v>83</v>
      </c>
      <c r="L257" s="87" t="s">
        <v>3</v>
      </c>
      <c r="M257" s="148">
        <f>4000000*8-8859474</f>
        <v>23140526</v>
      </c>
      <c r="N257" s="148"/>
      <c r="O257" s="148"/>
      <c r="P257" s="148"/>
      <c r="Q257" s="89"/>
      <c r="R257" s="32">
        <v>0</v>
      </c>
      <c r="S257" s="87" t="s">
        <v>67</v>
      </c>
      <c r="T257" s="87" t="s">
        <v>66</v>
      </c>
      <c r="U257" s="32">
        <v>0</v>
      </c>
      <c r="V257" s="87" t="s">
        <v>67</v>
      </c>
      <c r="W257" s="19" t="s">
        <v>68</v>
      </c>
      <c r="X257" s="87"/>
      <c r="Y257" s="87" t="s">
        <v>1159</v>
      </c>
      <c r="Z257" s="322" t="s">
        <v>292</v>
      </c>
      <c r="AA257" s="13" t="s">
        <v>67</v>
      </c>
      <c r="AB257" s="13"/>
      <c r="AC257" s="62"/>
      <c r="AD257" s="62"/>
      <c r="AE257" s="62"/>
      <c r="AF257" s="62"/>
      <c r="AG257" s="21"/>
      <c r="AH257" s="15"/>
    </row>
    <row r="258" spans="1:34" ht="24.95" customHeight="1" x14ac:dyDescent="0.25">
      <c r="A258" s="101" t="s">
        <v>297</v>
      </c>
      <c r="B258" s="87" t="s">
        <v>270</v>
      </c>
      <c r="C258" s="87" t="s">
        <v>287</v>
      </c>
      <c r="D258" s="19" t="s">
        <v>288</v>
      </c>
      <c r="E258" s="19" t="s">
        <v>301</v>
      </c>
      <c r="F258" s="19" t="s">
        <v>302</v>
      </c>
      <c r="G258" s="88"/>
      <c r="H258" s="88"/>
      <c r="I258" s="88"/>
      <c r="J258" s="135"/>
      <c r="K258" s="19"/>
      <c r="L258" s="87" t="s">
        <v>3</v>
      </c>
      <c r="M258" s="148">
        <v>8859474</v>
      </c>
      <c r="N258" s="148" t="s">
        <v>890</v>
      </c>
      <c r="O258" s="148" t="s">
        <v>14</v>
      </c>
      <c r="P258" s="148">
        <v>201891000284</v>
      </c>
      <c r="Q258" s="89" t="s">
        <v>950</v>
      </c>
      <c r="R258" s="32">
        <v>0</v>
      </c>
      <c r="S258" s="87" t="s">
        <v>67</v>
      </c>
      <c r="T258" s="87" t="s">
        <v>66</v>
      </c>
      <c r="U258" s="32">
        <v>0</v>
      </c>
      <c r="V258" s="87" t="s">
        <v>67</v>
      </c>
      <c r="W258" s="19" t="s">
        <v>68</v>
      </c>
      <c r="X258" s="87"/>
      <c r="Y258" s="87" t="s">
        <v>1159</v>
      </c>
      <c r="Z258" s="322" t="s">
        <v>292</v>
      </c>
      <c r="AA258" s="13" t="s">
        <v>67</v>
      </c>
      <c r="AB258" s="13"/>
      <c r="AC258" s="62"/>
      <c r="AD258" s="62"/>
      <c r="AE258" s="62"/>
      <c r="AF258" s="62"/>
      <c r="AG258" s="21"/>
      <c r="AH258" s="15"/>
    </row>
    <row r="259" spans="1:34" ht="24.95" customHeight="1" x14ac:dyDescent="0.25">
      <c r="A259" s="101" t="s">
        <v>303</v>
      </c>
      <c r="B259" s="87" t="s">
        <v>270</v>
      </c>
      <c r="C259" s="87" t="s">
        <v>287</v>
      </c>
      <c r="D259" s="19" t="s">
        <v>288</v>
      </c>
      <c r="E259" s="19" t="s">
        <v>294</v>
      </c>
      <c r="F259" s="19" t="s">
        <v>304</v>
      </c>
      <c r="G259" s="88">
        <v>1</v>
      </c>
      <c r="H259" s="88">
        <v>1</v>
      </c>
      <c r="I259" s="88">
        <v>11</v>
      </c>
      <c r="J259" s="135"/>
      <c r="K259" s="19" t="s">
        <v>83</v>
      </c>
      <c r="L259" s="87" t="s">
        <v>3</v>
      </c>
      <c r="M259" s="32">
        <f>4568426*11</f>
        <v>50252686</v>
      </c>
      <c r="N259" s="32"/>
      <c r="O259" s="32"/>
      <c r="P259" s="32"/>
      <c r="Q259" s="89"/>
      <c r="R259" s="32">
        <v>0</v>
      </c>
      <c r="S259" s="87" t="s">
        <v>67</v>
      </c>
      <c r="T259" s="87" t="s">
        <v>66</v>
      </c>
      <c r="U259" s="32">
        <v>0</v>
      </c>
      <c r="V259" s="87" t="s">
        <v>67</v>
      </c>
      <c r="W259" s="19" t="s">
        <v>68</v>
      </c>
      <c r="X259" s="87"/>
      <c r="Y259" s="87" t="s">
        <v>1159</v>
      </c>
      <c r="Z259" s="322" t="s">
        <v>292</v>
      </c>
      <c r="AA259" s="13" t="s">
        <v>67</v>
      </c>
      <c r="AB259" s="13"/>
      <c r="AC259" s="62"/>
      <c r="AD259" s="62"/>
      <c r="AE259" s="62"/>
      <c r="AF259" s="62"/>
      <c r="AG259" s="21"/>
      <c r="AH259" s="15"/>
    </row>
    <row r="260" spans="1:34" ht="24.95" customHeight="1" x14ac:dyDescent="0.25">
      <c r="A260" s="101" t="s">
        <v>293</v>
      </c>
      <c r="B260" s="87" t="s">
        <v>270</v>
      </c>
      <c r="C260" s="87" t="s">
        <v>287</v>
      </c>
      <c r="D260" s="19" t="s">
        <v>288</v>
      </c>
      <c r="E260" s="19" t="s">
        <v>294</v>
      </c>
      <c r="F260" s="19" t="s">
        <v>1163</v>
      </c>
      <c r="G260" s="88">
        <v>1</v>
      </c>
      <c r="H260" s="88">
        <v>1</v>
      </c>
      <c r="I260" s="88">
        <v>8</v>
      </c>
      <c r="J260" s="135"/>
      <c r="K260" s="19" t="s">
        <v>83</v>
      </c>
      <c r="L260" s="87" t="s">
        <v>3</v>
      </c>
      <c r="M260" s="32">
        <f>4000000*8</f>
        <v>32000000</v>
      </c>
      <c r="N260" s="32"/>
      <c r="O260" s="32"/>
      <c r="P260" s="32"/>
      <c r="Q260" s="89"/>
      <c r="R260" s="32">
        <v>0</v>
      </c>
      <c r="S260" s="87" t="s">
        <v>67</v>
      </c>
      <c r="T260" s="87" t="s">
        <v>66</v>
      </c>
      <c r="U260" s="32">
        <v>0</v>
      </c>
      <c r="V260" s="87" t="s">
        <v>67</v>
      </c>
      <c r="W260" s="19" t="s">
        <v>68</v>
      </c>
      <c r="X260" s="87"/>
      <c r="Y260" s="87" t="s">
        <v>1159</v>
      </c>
      <c r="Z260" s="322" t="s">
        <v>292</v>
      </c>
      <c r="AA260" s="13" t="s">
        <v>67</v>
      </c>
      <c r="AB260" s="13"/>
      <c r="AC260" s="62"/>
      <c r="AD260" s="62"/>
      <c r="AE260" s="62"/>
      <c r="AF260" s="62"/>
      <c r="AG260" s="21"/>
      <c r="AH260" s="15"/>
    </row>
    <row r="261" spans="1:34" ht="24.95" customHeight="1" x14ac:dyDescent="0.25">
      <c r="A261" s="101">
        <v>81111808</v>
      </c>
      <c r="B261" s="87" t="s">
        <v>270</v>
      </c>
      <c r="C261" s="87" t="s">
        <v>287</v>
      </c>
      <c r="D261" s="19" t="s">
        <v>288</v>
      </c>
      <c r="E261" s="19" t="s">
        <v>1164</v>
      </c>
      <c r="F261" s="19" t="s">
        <v>1165</v>
      </c>
      <c r="G261" s="88">
        <v>1</v>
      </c>
      <c r="H261" s="88">
        <v>1</v>
      </c>
      <c r="I261" s="88">
        <v>10</v>
      </c>
      <c r="J261" s="135"/>
      <c r="K261" s="19" t="s">
        <v>83</v>
      </c>
      <c r="L261" s="87" t="s">
        <v>3</v>
      </c>
      <c r="M261" s="32">
        <f>3200000*10-3493084</f>
        <v>28506916</v>
      </c>
      <c r="N261" s="540" t="s">
        <v>887</v>
      </c>
      <c r="O261" s="543" t="s">
        <v>12</v>
      </c>
      <c r="P261" s="542">
        <v>201891000284</v>
      </c>
      <c r="Q261" s="543" t="s">
        <v>950</v>
      </c>
      <c r="R261" s="32">
        <v>0</v>
      </c>
      <c r="S261" s="87" t="s">
        <v>67</v>
      </c>
      <c r="T261" s="87" t="s">
        <v>66</v>
      </c>
      <c r="U261" s="32">
        <v>0</v>
      </c>
      <c r="V261" s="87" t="s">
        <v>67</v>
      </c>
      <c r="W261" s="19" t="s">
        <v>68</v>
      </c>
      <c r="X261" s="87"/>
      <c r="Y261" s="87" t="s">
        <v>1159</v>
      </c>
      <c r="Z261" s="322" t="s">
        <v>292</v>
      </c>
      <c r="AA261" s="13" t="s">
        <v>67</v>
      </c>
      <c r="AB261" s="13"/>
      <c r="AC261" s="62"/>
      <c r="AD261" s="62"/>
      <c r="AE261" s="62"/>
      <c r="AF261" s="62"/>
      <c r="AG261" s="21"/>
      <c r="AH261" s="15"/>
    </row>
    <row r="262" spans="1:34" ht="24.95" customHeight="1" x14ac:dyDescent="0.25">
      <c r="A262" s="101">
        <v>81111808</v>
      </c>
      <c r="B262" s="87" t="s">
        <v>270</v>
      </c>
      <c r="C262" s="87" t="s">
        <v>287</v>
      </c>
      <c r="D262" s="19" t="s">
        <v>288</v>
      </c>
      <c r="E262" s="19" t="s">
        <v>1164</v>
      </c>
      <c r="F262" s="19" t="s">
        <v>1165</v>
      </c>
      <c r="G262" s="88"/>
      <c r="H262" s="88"/>
      <c r="I262" s="88"/>
      <c r="J262" s="135"/>
      <c r="K262" s="19"/>
      <c r="L262" s="87" t="s">
        <v>3</v>
      </c>
      <c r="M262" s="32">
        <v>3493084</v>
      </c>
      <c r="N262" s="540"/>
      <c r="O262" s="541"/>
      <c r="P262" s="542"/>
      <c r="Q262" s="543"/>
      <c r="R262" s="32">
        <v>0</v>
      </c>
      <c r="S262" s="87" t="s">
        <v>67</v>
      </c>
      <c r="T262" s="87" t="s">
        <v>66</v>
      </c>
      <c r="U262" s="32">
        <v>0</v>
      </c>
      <c r="V262" s="87" t="s">
        <v>67</v>
      </c>
      <c r="W262" s="19" t="s">
        <v>68</v>
      </c>
      <c r="X262" s="87"/>
      <c r="Y262" s="87" t="s">
        <v>1159</v>
      </c>
      <c r="Z262" s="322" t="s">
        <v>292</v>
      </c>
      <c r="AA262" s="13" t="s">
        <v>67</v>
      </c>
      <c r="AB262" s="13"/>
      <c r="AC262" s="62"/>
      <c r="AD262" s="62"/>
      <c r="AE262" s="62"/>
      <c r="AF262" s="62"/>
      <c r="AG262" s="21"/>
      <c r="AH262" s="15"/>
    </row>
    <row r="263" spans="1:34" ht="24.95" customHeight="1" x14ac:dyDescent="0.25">
      <c r="A263" s="101" t="s">
        <v>303</v>
      </c>
      <c r="B263" s="87" t="s">
        <v>270</v>
      </c>
      <c r="C263" s="87" t="s">
        <v>287</v>
      </c>
      <c r="D263" s="19" t="s">
        <v>288</v>
      </c>
      <c r="E263" s="19" t="s">
        <v>294</v>
      </c>
      <c r="F263" s="19" t="s">
        <v>1166</v>
      </c>
      <c r="G263" s="88">
        <v>1</v>
      </c>
      <c r="H263" s="88">
        <v>1</v>
      </c>
      <c r="I263" s="88">
        <v>11</v>
      </c>
      <c r="J263" s="135"/>
      <c r="K263" s="19" t="s">
        <v>83</v>
      </c>
      <c r="L263" s="87" t="s">
        <v>3</v>
      </c>
      <c r="M263" s="32">
        <f>3636363.63*11</f>
        <v>39999999.93</v>
      </c>
      <c r="N263" s="32"/>
      <c r="O263" s="32"/>
      <c r="P263" s="32"/>
      <c r="Q263" s="89"/>
      <c r="R263" s="32">
        <v>0</v>
      </c>
      <c r="S263" s="87" t="s">
        <v>67</v>
      </c>
      <c r="T263" s="87" t="s">
        <v>66</v>
      </c>
      <c r="U263" s="32">
        <v>0</v>
      </c>
      <c r="V263" s="87" t="s">
        <v>67</v>
      </c>
      <c r="W263" s="19" t="s">
        <v>68</v>
      </c>
      <c r="X263" s="87"/>
      <c r="Y263" s="87" t="s">
        <v>1159</v>
      </c>
      <c r="Z263" s="322" t="s">
        <v>292</v>
      </c>
      <c r="AA263" s="13" t="s">
        <v>67</v>
      </c>
      <c r="AB263" s="13"/>
      <c r="AC263" s="62"/>
      <c r="AD263" s="62"/>
      <c r="AE263" s="62"/>
      <c r="AF263" s="62"/>
      <c r="AG263" s="21"/>
      <c r="AH263" s="15"/>
    </row>
    <row r="264" spans="1:34" ht="24.95" customHeight="1" x14ac:dyDescent="0.25">
      <c r="A264" s="21">
        <v>81112501</v>
      </c>
      <c r="B264" s="21" t="s">
        <v>270</v>
      </c>
      <c r="C264" s="60" t="s">
        <v>287</v>
      </c>
      <c r="D264" s="16" t="s">
        <v>288</v>
      </c>
      <c r="E264" s="16" t="s">
        <v>310</v>
      </c>
      <c r="F264" s="16" t="s">
        <v>311</v>
      </c>
      <c r="G264" s="22">
        <v>7</v>
      </c>
      <c r="H264" s="22">
        <v>7</v>
      </c>
      <c r="I264" s="22">
        <v>3</v>
      </c>
      <c r="J264" s="334"/>
      <c r="K264" s="16" t="s">
        <v>312</v>
      </c>
      <c r="L264" s="21" t="s">
        <v>3</v>
      </c>
      <c r="M264" s="23">
        <v>28000000</v>
      </c>
      <c r="N264" s="23"/>
      <c r="O264" s="23"/>
      <c r="P264" s="23"/>
      <c r="Q264" s="86"/>
      <c r="R264" s="23">
        <v>0</v>
      </c>
      <c r="S264" s="21" t="s">
        <v>67</v>
      </c>
      <c r="T264" s="21" t="s">
        <v>66</v>
      </c>
      <c r="U264" s="23">
        <v>0</v>
      </c>
      <c r="V264" s="21" t="s">
        <v>67</v>
      </c>
      <c r="W264" s="16" t="s">
        <v>68</v>
      </c>
      <c r="X264" s="21"/>
      <c r="Y264" s="21" t="s">
        <v>1159</v>
      </c>
      <c r="Z264" s="46" t="s">
        <v>292</v>
      </c>
      <c r="AA264" s="13" t="s">
        <v>67</v>
      </c>
      <c r="AB264" s="13"/>
      <c r="AC264" s="62"/>
      <c r="AD264" s="62"/>
      <c r="AE264" s="62"/>
      <c r="AF264" s="62"/>
      <c r="AG264" s="21"/>
      <c r="AH264" s="15"/>
    </row>
    <row r="265" spans="1:34" ht="24.95" customHeight="1" x14ac:dyDescent="0.25">
      <c r="A265" s="26" t="s">
        <v>313</v>
      </c>
      <c r="B265" s="21" t="s">
        <v>270</v>
      </c>
      <c r="C265" s="60" t="s">
        <v>287</v>
      </c>
      <c r="D265" s="16" t="s">
        <v>288</v>
      </c>
      <c r="E265" s="16" t="s">
        <v>314</v>
      </c>
      <c r="F265" s="16" t="s">
        <v>315</v>
      </c>
      <c r="G265" s="22">
        <v>8</v>
      </c>
      <c r="H265" s="22">
        <v>8</v>
      </c>
      <c r="I265" s="22">
        <v>3</v>
      </c>
      <c r="J265" s="334"/>
      <c r="K265" s="16" t="s">
        <v>154</v>
      </c>
      <c r="L265" s="21" t="s">
        <v>3</v>
      </c>
      <c r="M265" s="23">
        <v>15000000</v>
      </c>
      <c r="N265" s="23"/>
      <c r="O265" s="23"/>
      <c r="P265" s="23"/>
      <c r="Q265" s="86"/>
      <c r="R265" s="23">
        <v>0</v>
      </c>
      <c r="S265" s="21" t="s">
        <v>67</v>
      </c>
      <c r="T265" s="21" t="s">
        <v>66</v>
      </c>
      <c r="U265" s="23">
        <v>0</v>
      </c>
      <c r="V265" s="21" t="s">
        <v>67</v>
      </c>
      <c r="W265" s="16" t="s">
        <v>68</v>
      </c>
      <c r="X265" s="21"/>
      <c r="Y265" s="21" t="s">
        <v>1159</v>
      </c>
      <c r="Z265" s="46" t="s">
        <v>292</v>
      </c>
      <c r="AA265" s="13" t="s">
        <v>67</v>
      </c>
      <c r="AB265" s="13"/>
      <c r="AC265" s="62"/>
      <c r="AD265" s="62"/>
      <c r="AE265" s="62"/>
      <c r="AF265" s="62"/>
      <c r="AG265" s="21"/>
      <c r="AH265" s="15"/>
    </row>
    <row r="266" spans="1:34" ht="24.95" customHeight="1" x14ac:dyDescent="0.25">
      <c r="A266" s="21">
        <v>81112501</v>
      </c>
      <c r="B266" s="21" t="s">
        <v>270</v>
      </c>
      <c r="C266" s="60" t="s">
        <v>287</v>
      </c>
      <c r="D266" s="16" t="s">
        <v>288</v>
      </c>
      <c r="E266" s="16" t="s">
        <v>316</v>
      </c>
      <c r="F266" s="16" t="s">
        <v>317</v>
      </c>
      <c r="G266" s="22">
        <v>9</v>
      </c>
      <c r="H266" s="22">
        <v>9</v>
      </c>
      <c r="I266" s="22">
        <v>3</v>
      </c>
      <c r="J266" s="334"/>
      <c r="K266" s="16" t="s">
        <v>318</v>
      </c>
      <c r="L266" s="21" t="s">
        <v>3</v>
      </c>
      <c r="M266" s="23">
        <f>50000000-280868</f>
        <v>49719132</v>
      </c>
      <c r="N266" s="23"/>
      <c r="O266" s="23"/>
      <c r="P266" s="23"/>
      <c r="Q266" s="86"/>
      <c r="R266" s="23">
        <v>0</v>
      </c>
      <c r="S266" s="21" t="s">
        <v>67</v>
      </c>
      <c r="T266" s="21" t="s">
        <v>66</v>
      </c>
      <c r="U266" s="23">
        <v>0</v>
      </c>
      <c r="V266" s="21" t="s">
        <v>67</v>
      </c>
      <c r="W266" s="16" t="s">
        <v>68</v>
      </c>
      <c r="X266" s="21"/>
      <c r="Y266" s="21" t="s">
        <v>1159</v>
      </c>
      <c r="Z266" s="46" t="s">
        <v>292</v>
      </c>
      <c r="AA266" s="13" t="s">
        <v>67</v>
      </c>
      <c r="AB266" s="13"/>
      <c r="AC266" s="21"/>
      <c r="AD266" s="21"/>
      <c r="AE266" s="21"/>
      <c r="AF266" s="21"/>
      <c r="AG266" s="21"/>
      <c r="AH266" s="21"/>
    </row>
    <row r="267" spans="1:34" ht="24.95" customHeight="1" x14ac:dyDescent="0.25">
      <c r="A267" s="21">
        <v>43233201</v>
      </c>
      <c r="B267" s="21" t="s">
        <v>270</v>
      </c>
      <c r="C267" s="60" t="s">
        <v>287</v>
      </c>
      <c r="D267" s="16" t="s">
        <v>288</v>
      </c>
      <c r="E267" s="16" t="s">
        <v>319</v>
      </c>
      <c r="F267" s="20" t="s">
        <v>320</v>
      </c>
      <c r="G267" s="22">
        <v>10</v>
      </c>
      <c r="H267" s="22">
        <v>10</v>
      </c>
      <c r="I267" s="22">
        <v>3</v>
      </c>
      <c r="J267" s="334"/>
      <c r="K267" s="16" t="s">
        <v>154</v>
      </c>
      <c r="L267" s="21" t="s">
        <v>3</v>
      </c>
      <c r="M267" s="23">
        <v>4000000</v>
      </c>
      <c r="N267" s="23"/>
      <c r="O267" s="23"/>
      <c r="P267" s="23"/>
      <c r="Q267" s="86"/>
      <c r="R267" s="23">
        <v>0</v>
      </c>
      <c r="S267" s="21" t="s">
        <v>67</v>
      </c>
      <c r="T267" s="21" t="s">
        <v>66</v>
      </c>
      <c r="U267" s="23">
        <v>0</v>
      </c>
      <c r="V267" s="21" t="s">
        <v>67</v>
      </c>
      <c r="W267" s="16" t="s">
        <v>68</v>
      </c>
      <c r="X267" s="21"/>
      <c r="Y267" s="21" t="s">
        <v>1159</v>
      </c>
      <c r="Z267" s="46" t="s">
        <v>292</v>
      </c>
      <c r="AA267" s="13" t="s">
        <v>67</v>
      </c>
      <c r="AB267" s="13"/>
      <c r="AC267" s="21"/>
      <c r="AD267" s="21"/>
      <c r="AE267" s="21"/>
      <c r="AF267" s="21"/>
      <c r="AG267" s="21"/>
      <c r="AH267" s="21"/>
    </row>
    <row r="268" spans="1:34" ht="24.95" customHeight="1" x14ac:dyDescent="0.25">
      <c r="A268" s="21" t="s">
        <v>321</v>
      </c>
      <c r="B268" s="21" t="s">
        <v>270</v>
      </c>
      <c r="C268" s="60" t="s">
        <v>287</v>
      </c>
      <c r="D268" s="16" t="s">
        <v>288</v>
      </c>
      <c r="E268" s="16" t="s">
        <v>322</v>
      </c>
      <c r="F268" s="20" t="s">
        <v>323</v>
      </c>
      <c r="G268" s="22">
        <v>5</v>
      </c>
      <c r="H268" s="22">
        <v>5</v>
      </c>
      <c r="I268" s="22">
        <v>7</v>
      </c>
      <c r="J268" s="334"/>
      <c r="K268" s="16" t="s">
        <v>154</v>
      </c>
      <c r="L268" s="21" t="s">
        <v>3</v>
      </c>
      <c r="M268" s="23">
        <v>13000000</v>
      </c>
      <c r="N268" s="507" t="s">
        <v>885</v>
      </c>
      <c r="O268" s="86" t="s">
        <v>13</v>
      </c>
      <c r="P268" s="508">
        <v>201891000284</v>
      </c>
      <c r="Q268" s="86" t="s">
        <v>950</v>
      </c>
      <c r="R268" s="23">
        <v>0</v>
      </c>
      <c r="S268" s="21" t="s">
        <v>67</v>
      </c>
      <c r="T268" s="21" t="s">
        <v>66</v>
      </c>
      <c r="U268" s="23">
        <v>0</v>
      </c>
      <c r="V268" s="21" t="s">
        <v>67</v>
      </c>
      <c r="W268" s="16" t="s">
        <v>68</v>
      </c>
      <c r="X268" s="21"/>
      <c r="Y268" s="21" t="s">
        <v>1159</v>
      </c>
      <c r="Z268" s="46" t="s">
        <v>292</v>
      </c>
      <c r="AA268" s="13" t="s">
        <v>67</v>
      </c>
      <c r="AB268" s="13"/>
      <c r="AC268" s="21"/>
      <c r="AD268" s="21"/>
      <c r="AE268" s="21"/>
      <c r="AF268" s="21"/>
      <c r="AG268" s="21"/>
      <c r="AH268" s="21"/>
    </row>
    <row r="269" spans="1:34" ht="24.95" customHeight="1" x14ac:dyDescent="0.25">
      <c r="A269" s="21">
        <v>81112306</v>
      </c>
      <c r="B269" s="21" t="s">
        <v>270</v>
      </c>
      <c r="C269" s="60" t="s">
        <v>287</v>
      </c>
      <c r="D269" s="16" t="s">
        <v>288</v>
      </c>
      <c r="E269" s="21" t="s">
        <v>324</v>
      </c>
      <c r="F269" s="20" t="s">
        <v>325</v>
      </c>
      <c r="G269" s="22">
        <v>6</v>
      </c>
      <c r="H269" s="22">
        <v>6</v>
      </c>
      <c r="I269" s="22">
        <v>6</v>
      </c>
      <c r="J269" s="334"/>
      <c r="K269" s="16" t="s">
        <v>154</v>
      </c>
      <c r="L269" s="21" t="s">
        <v>3</v>
      </c>
      <c r="M269" s="23">
        <v>16000000</v>
      </c>
      <c r="N269" s="23"/>
      <c r="O269" s="23"/>
      <c r="P269" s="23"/>
      <c r="Q269" s="86"/>
      <c r="R269" s="23">
        <v>0</v>
      </c>
      <c r="S269" s="21" t="s">
        <v>67</v>
      </c>
      <c r="T269" s="21" t="s">
        <v>66</v>
      </c>
      <c r="U269" s="23">
        <v>0</v>
      </c>
      <c r="V269" s="21" t="s">
        <v>67</v>
      </c>
      <c r="W269" s="16" t="s">
        <v>68</v>
      </c>
      <c r="X269" s="21"/>
      <c r="Y269" s="21" t="s">
        <v>1159</v>
      </c>
      <c r="Z269" s="46" t="s">
        <v>292</v>
      </c>
      <c r="AA269" s="13" t="s">
        <v>67</v>
      </c>
      <c r="AB269" s="13"/>
      <c r="AC269" s="21"/>
      <c r="AD269" s="21"/>
      <c r="AE269" s="21"/>
      <c r="AF269" s="21"/>
      <c r="AG269" s="21"/>
      <c r="AH269" s="21"/>
    </row>
    <row r="270" spans="1:34" ht="24.95" customHeight="1" x14ac:dyDescent="0.25">
      <c r="A270" s="324">
        <v>43211507</v>
      </c>
      <c r="B270" s="324" t="s">
        <v>270</v>
      </c>
      <c r="C270" s="324" t="s">
        <v>287</v>
      </c>
      <c r="D270" s="325" t="s">
        <v>288</v>
      </c>
      <c r="E270" s="324" t="s">
        <v>1167</v>
      </c>
      <c r="F270" s="324" t="s">
        <v>1168</v>
      </c>
      <c r="G270" s="326">
        <v>2</v>
      </c>
      <c r="H270" s="326">
        <v>2</v>
      </c>
      <c r="I270" s="326">
        <v>6</v>
      </c>
      <c r="J270" s="335"/>
      <c r="K270" s="325" t="s">
        <v>318</v>
      </c>
      <c r="L270" s="115" t="s">
        <v>67</v>
      </c>
      <c r="M270" s="327">
        <f>20000000-20000000</f>
        <v>0</v>
      </c>
      <c r="N270" s="327"/>
      <c r="O270" s="327"/>
      <c r="P270" s="327"/>
      <c r="Q270" s="518"/>
      <c r="R270" s="119">
        <v>20000000</v>
      </c>
      <c r="S270" s="324" t="s">
        <v>67</v>
      </c>
      <c r="T270" s="324" t="s">
        <v>66</v>
      </c>
      <c r="U270" s="327">
        <v>0</v>
      </c>
      <c r="V270" s="324" t="s">
        <v>67</v>
      </c>
      <c r="W270" s="325" t="s">
        <v>68</v>
      </c>
      <c r="X270" s="324"/>
      <c r="Y270" s="324" t="s">
        <v>1159</v>
      </c>
      <c r="Z270" s="328" t="s">
        <v>292</v>
      </c>
      <c r="AA270" s="13" t="s">
        <v>67</v>
      </c>
      <c r="AB270" s="13"/>
      <c r="AC270" s="21"/>
      <c r="AD270" s="21"/>
      <c r="AE270" s="21"/>
      <c r="AF270" s="21"/>
      <c r="AG270" s="21"/>
      <c r="AH270" s="21"/>
    </row>
    <row r="271" spans="1:34" ht="24.95" customHeight="1" x14ac:dyDescent="0.25">
      <c r="A271" s="21"/>
      <c r="B271" s="21" t="s">
        <v>270</v>
      </c>
      <c r="C271" s="60" t="s">
        <v>287</v>
      </c>
      <c r="D271" s="16" t="s">
        <v>288</v>
      </c>
      <c r="E271" s="19" t="s">
        <v>1169</v>
      </c>
      <c r="F271" s="16"/>
      <c r="G271" s="22"/>
      <c r="H271" s="22"/>
      <c r="I271" s="22"/>
      <c r="J271" s="22"/>
      <c r="K271" s="21"/>
      <c r="L271" s="115" t="s">
        <v>67</v>
      </c>
      <c r="M271" s="73">
        <f t="shared" ref="M271:M272" si="1">20000000-20000000</f>
        <v>0</v>
      </c>
      <c r="N271" s="73"/>
      <c r="O271" s="73"/>
      <c r="P271" s="73"/>
      <c r="Q271" s="519"/>
      <c r="R271" s="23">
        <v>0</v>
      </c>
      <c r="S271" s="21" t="s">
        <v>67</v>
      </c>
      <c r="T271" s="21" t="s">
        <v>66</v>
      </c>
      <c r="U271" s="23"/>
      <c r="V271" s="21"/>
      <c r="W271" s="21"/>
      <c r="X271" s="21"/>
      <c r="Y271" s="21"/>
      <c r="Z271" s="21"/>
      <c r="AA271" s="70" t="s">
        <v>67</v>
      </c>
      <c r="AB271" s="70"/>
      <c r="AC271" s="69"/>
      <c r="AD271" s="69"/>
      <c r="AE271" s="69"/>
      <c r="AF271" s="69"/>
      <c r="AG271" s="69"/>
      <c r="AH271" s="69"/>
    </row>
    <row r="272" spans="1:34" ht="24.95" customHeight="1" x14ac:dyDescent="0.25">
      <c r="A272" s="21"/>
      <c r="B272" s="21" t="s">
        <v>270</v>
      </c>
      <c r="C272" s="60" t="s">
        <v>287</v>
      </c>
      <c r="D272" s="16" t="s">
        <v>288</v>
      </c>
      <c r="E272" s="21" t="s">
        <v>1170</v>
      </c>
      <c r="F272" s="21"/>
      <c r="G272" s="22"/>
      <c r="H272" s="22"/>
      <c r="I272" s="22"/>
      <c r="J272" s="22"/>
      <c r="K272" s="21"/>
      <c r="L272" s="115" t="s">
        <v>67</v>
      </c>
      <c r="M272" s="73">
        <f t="shared" si="1"/>
        <v>0</v>
      </c>
      <c r="N272" s="73"/>
      <c r="O272" s="73"/>
      <c r="P272" s="73"/>
      <c r="Q272" s="519"/>
      <c r="R272" s="23">
        <v>0</v>
      </c>
      <c r="S272" s="21" t="s">
        <v>67</v>
      </c>
      <c r="T272" s="21" t="s">
        <v>66</v>
      </c>
      <c r="U272" s="23"/>
      <c r="V272" s="21"/>
      <c r="W272" s="21"/>
      <c r="X272" s="21"/>
      <c r="Y272" s="21"/>
      <c r="Z272" s="21"/>
      <c r="AA272" s="70" t="s">
        <v>67</v>
      </c>
      <c r="AB272" s="70"/>
      <c r="AC272" s="69"/>
      <c r="AD272" s="69"/>
      <c r="AE272" s="69"/>
      <c r="AF272" s="69"/>
      <c r="AG272" s="69"/>
      <c r="AH272" s="69"/>
    </row>
    <row r="273" spans="1:34" ht="24.95" customHeight="1" x14ac:dyDescent="0.25">
      <c r="A273" s="128"/>
      <c r="B273" s="294" t="s">
        <v>270</v>
      </c>
      <c r="C273" s="294" t="s">
        <v>287</v>
      </c>
      <c r="D273" s="144" t="s">
        <v>163</v>
      </c>
      <c r="E273" s="316" t="s">
        <v>322</v>
      </c>
      <c r="F273" s="69"/>
      <c r="G273" s="129">
        <v>0</v>
      </c>
      <c r="H273" s="129">
        <v>0</v>
      </c>
      <c r="I273" s="129">
        <v>0</v>
      </c>
      <c r="J273" s="129">
        <v>0</v>
      </c>
      <c r="K273" s="69"/>
      <c r="L273" s="115" t="s">
        <v>67</v>
      </c>
      <c r="M273" s="119">
        <v>0</v>
      </c>
      <c r="N273" s="119"/>
      <c r="O273" s="119"/>
      <c r="P273" s="119"/>
      <c r="Q273" s="143"/>
      <c r="R273" s="119">
        <v>0</v>
      </c>
      <c r="S273" s="143" t="s">
        <v>67</v>
      </c>
      <c r="T273" s="69" t="s">
        <v>66</v>
      </c>
      <c r="U273" s="119">
        <v>0</v>
      </c>
      <c r="V273" s="69" t="s">
        <v>67</v>
      </c>
      <c r="W273" s="69" t="s">
        <v>68</v>
      </c>
      <c r="X273" s="69"/>
      <c r="Y273" s="128"/>
      <c r="Z273" s="69"/>
      <c r="AA273" s="70" t="s">
        <v>67</v>
      </c>
      <c r="AB273" s="70"/>
      <c r="AC273" s="69"/>
      <c r="AD273" s="69"/>
      <c r="AE273" s="69"/>
      <c r="AF273" s="69"/>
      <c r="AG273" s="69"/>
      <c r="AH273" s="69"/>
    </row>
    <row r="274" spans="1:34" ht="24.95" customHeight="1" x14ac:dyDescent="0.25">
      <c r="A274" s="128"/>
      <c r="B274" s="294" t="s">
        <v>270</v>
      </c>
      <c r="C274" s="294" t="s">
        <v>287</v>
      </c>
      <c r="D274" s="144" t="s">
        <v>163</v>
      </c>
      <c r="E274" s="69" t="s">
        <v>1171</v>
      </c>
      <c r="F274" s="69"/>
      <c r="G274" s="129">
        <v>0</v>
      </c>
      <c r="H274" s="129">
        <v>0</v>
      </c>
      <c r="I274" s="129">
        <v>0</v>
      </c>
      <c r="J274" s="129">
        <v>0</v>
      </c>
      <c r="K274" s="69"/>
      <c r="L274" s="115" t="s">
        <v>67</v>
      </c>
      <c r="M274" s="119">
        <v>0</v>
      </c>
      <c r="N274" s="119"/>
      <c r="O274" s="119"/>
      <c r="P274" s="119"/>
      <c r="Q274" s="143"/>
      <c r="R274" s="119">
        <v>0</v>
      </c>
      <c r="S274" s="143" t="s">
        <v>67</v>
      </c>
      <c r="T274" s="69" t="s">
        <v>66</v>
      </c>
      <c r="U274" s="119">
        <v>0</v>
      </c>
      <c r="V274" s="69" t="s">
        <v>67</v>
      </c>
      <c r="W274" s="69" t="s">
        <v>68</v>
      </c>
      <c r="X274" s="69"/>
      <c r="Y274" s="128"/>
      <c r="Z274" s="69"/>
      <c r="AA274" s="70" t="s">
        <v>67</v>
      </c>
      <c r="AB274" s="70"/>
      <c r="AC274" s="69"/>
      <c r="AD274" s="69"/>
      <c r="AE274" s="69"/>
      <c r="AF274" s="69"/>
      <c r="AG274" s="69"/>
      <c r="AH274" s="69"/>
    </row>
    <row r="275" spans="1:34" ht="24.95" customHeight="1" x14ac:dyDescent="0.25">
      <c r="A275" s="128"/>
      <c r="B275" s="294" t="s">
        <v>270</v>
      </c>
      <c r="C275" s="294" t="s">
        <v>287</v>
      </c>
      <c r="D275" s="144" t="s">
        <v>163</v>
      </c>
      <c r="E275" s="69" t="s">
        <v>1170</v>
      </c>
      <c r="F275" s="69"/>
      <c r="G275" s="129">
        <v>0</v>
      </c>
      <c r="H275" s="129">
        <v>0</v>
      </c>
      <c r="I275" s="129">
        <v>0</v>
      </c>
      <c r="J275" s="129">
        <v>0</v>
      </c>
      <c r="K275" s="69"/>
      <c r="L275" s="115" t="s">
        <v>67</v>
      </c>
      <c r="M275" s="119">
        <v>0</v>
      </c>
      <c r="N275" s="119"/>
      <c r="O275" s="119"/>
      <c r="P275" s="119"/>
      <c r="Q275" s="143"/>
      <c r="R275" s="119">
        <v>0</v>
      </c>
      <c r="S275" s="143" t="s">
        <v>67</v>
      </c>
      <c r="T275" s="69" t="s">
        <v>66</v>
      </c>
      <c r="U275" s="119">
        <v>0</v>
      </c>
      <c r="V275" s="69" t="s">
        <v>67</v>
      </c>
      <c r="W275" s="69" t="s">
        <v>68</v>
      </c>
      <c r="X275" s="69"/>
      <c r="Y275" s="128"/>
      <c r="Z275" s="69"/>
      <c r="AA275" s="70" t="s">
        <v>67</v>
      </c>
      <c r="AB275" s="70"/>
      <c r="AC275" s="69"/>
      <c r="AD275" s="69"/>
      <c r="AE275" s="69"/>
      <c r="AF275" s="69"/>
      <c r="AG275" s="69"/>
      <c r="AH275" s="69" t="s">
        <v>1172</v>
      </c>
    </row>
    <row r="276" spans="1:34" s="118" customFormat="1" ht="24.95" customHeight="1" x14ac:dyDescent="0.25">
      <c r="A276" s="285">
        <v>80111621</v>
      </c>
      <c r="B276" s="301" t="s">
        <v>58</v>
      </c>
      <c r="C276" s="301" t="s">
        <v>94</v>
      </c>
      <c r="D276" s="301" t="s">
        <v>94</v>
      </c>
      <c r="E276" s="117" t="s">
        <v>326</v>
      </c>
      <c r="F276" s="117" t="s">
        <v>326</v>
      </c>
      <c r="G276" s="101">
        <v>1</v>
      </c>
      <c r="H276" s="135"/>
      <c r="I276" s="135">
        <v>10</v>
      </c>
      <c r="J276" s="135"/>
      <c r="K276" s="117" t="s">
        <v>83</v>
      </c>
      <c r="L276" s="117" t="s">
        <v>3</v>
      </c>
      <c r="M276" s="136">
        <f>41513478-2656863</f>
        <v>38856615</v>
      </c>
      <c r="N276" s="520" t="s">
        <v>856</v>
      </c>
      <c r="O276" s="520" t="s">
        <v>4</v>
      </c>
      <c r="P276" s="136"/>
      <c r="Q276" s="520"/>
      <c r="R276" s="75">
        <v>41513478</v>
      </c>
      <c r="S276" s="150" t="s">
        <v>67</v>
      </c>
      <c r="T276" s="87" t="s">
        <v>66</v>
      </c>
      <c r="U276" s="32">
        <v>0</v>
      </c>
      <c r="V276" s="87" t="s">
        <v>67</v>
      </c>
      <c r="W276" s="87" t="s">
        <v>68</v>
      </c>
      <c r="X276" s="117" t="s">
        <v>99</v>
      </c>
      <c r="Y276" s="160">
        <v>3422121</v>
      </c>
      <c r="Z276" s="137" t="s">
        <v>1173</v>
      </c>
      <c r="AA276" s="117" t="s">
        <v>67</v>
      </c>
      <c r="AB276" s="117"/>
      <c r="AC276" s="162"/>
      <c r="AD276" s="87"/>
      <c r="AE276" s="87"/>
      <c r="AF276" s="87"/>
      <c r="AG276" s="87"/>
      <c r="AH276" s="87"/>
    </row>
    <row r="277" spans="1:34" s="118" customFormat="1" ht="24.95" customHeight="1" x14ac:dyDescent="0.25">
      <c r="A277" s="285">
        <v>80111621</v>
      </c>
      <c r="B277" s="301" t="s">
        <v>58</v>
      </c>
      <c r="C277" s="301" t="s">
        <v>94</v>
      </c>
      <c r="D277" s="301" t="s">
        <v>94</v>
      </c>
      <c r="E277" s="117" t="s">
        <v>328</v>
      </c>
      <c r="F277" s="117" t="s">
        <v>328</v>
      </c>
      <c r="G277" s="101">
        <v>1</v>
      </c>
      <c r="H277" s="135"/>
      <c r="I277" s="135">
        <v>11</v>
      </c>
      <c r="J277" s="135">
        <v>15</v>
      </c>
      <c r="K277" s="117" t="s">
        <v>83</v>
      </c>
      <c r="L277" s="117" t="s">
        <v>3</v>
      </c>
      <c r="M277" s="138">
        <f>71069692-2202148</f>
        <v>68867544</v>
      </c>
      <c r="N277" s="520" t="s">
        <v>856</v>
      </c>
      <c r="O277" s="520" t="s">
        <v>4</v>
      </c>
      <c r="P277" s="138"/>
      <c r="Q277" s="521"/>
      <c r="R277" s="76">
        <v>71069692</v>
      </c>
      <c r="S277" s="150" t="s">
        <v>67</v>
      </c>
      <c r="T277" s="87" t="s">
        <v>66</v>
      </c>
      <c r="U277" s="32">
        <v>0</v>
      </c>
      <c r="V277" s="87" t="s">
        <v>67</v>
      </c>
      <c r="W277" s="87" t="s">
        <v>68</v>
      </c>
      <c r="X277" s="117" t="s">
        <v>99</v>
      </c>
      <c r="Y277" s="160">
        <v>3422121</v>
      </c>
      <c r="Z277" s="137" t="s">
        <v>1173</v>
      </c>
      <c r="AA277" s="117" t="s">
        <v>67</v>
      </c>
      <c r="AB277" s="117"/>
      <c r="AC277" s="162"/>
      <c r="AD277" s="87"/>
      <c r="AE277" s="87"/>
      <c r="AF277" s="87"/>
      <c r="AG277" s="87"/>
      <c r="AH277" s="87"/>
    </row>
    <row r="278" spans="1:34" s="118" customFormat="1" ht="24.95" customHeight="1" x14ac:dyDescent="0.25">
      <c r="A278" s="285">
        <v>80111621</v>
      </c>
      <c r="B278" s="301" t="s">
        <v>58</v>
      </c>
      <c r="C278" s="301" t="s">
        <v>94</v>
      </c>
      <c r="D278" s="301" t="s">
        <v>94</v>
      </c>
      <c r="E278" s="117" t="s">
        <v>328</v>
      </c>
      <c r="F278" s="117" t="s">
        <v>328</v>
      </c>
      <c r="G278" s="101">
        <v>1</v>
      </c>
      <c r="H278" s="135"/>
      <c r="I278" s="135">
        <v>11</v>
      </c>
      <c r="J278" s="135">
        <v>15</v>
      </c>
      <c r="K278" s="117" t="s">
        <v>83</v>
      </c>
      <c r="L278" s="117" t="s">
        <v>3</v>
      </c>
      <c r="M278" s="138">
        <v>2202148</v>
      </c>
      <c r="N278" s="520" t="s">
        <v>856</v>
      </c>
      <c r="O278" s="520" t="s">
        <v>4</v>
      </c>
      <c r="P278" s="138"/>
      <c r="Q278" s="521"/>
      <c r="R278" s="76">
        <v>71069692</v>
      </c>
      <c r="S278" s="150" t="s">
        <v>67</v>
      </c>
      <c r="T278" s="87" t="s">
        <v>66</v>
      </c>
      <c r="U278" s="32">
        <v>0</v>
      </c>
      <c r="V278" s="87" t="s">
        <v>67</v>
      </c>
      <c r="W278" s="87" t="s">
        <v>68</v>
      </c>
      <c r="X278" s="117" t="s">
        <v>99</v>
      </c>
      <c r="Y278" s="160">
        <v>3422121</v>
      </c>
      <c r="Z278" s="137" t="s">
        <v>1173</v>
      </c>
      <c r="AA278" s="117" t="s">
        <v>67</v>
      </c>
      <c r="AB278" s="117"/>
      <c r="AC278" s="162"/>
      <c r="AD278" s="87"/>
      <c r="AE278" s="87"/>
      <c r="AF278" s="87"/>
      <c r="AG278" s="87"/>
      <c r="AH278" s="87"/>
    </row>
    <row r="279" spans="1:34" s="118" customFormat="1" ht="24.95" customHeight="1" x14ac:dyDescent="0.25">
      <c r="A279" s="285">
        <v>80111621</v>
      </c>
      <c r="B279" s="301" t="s">
        <v>58</v>
      </c>
      <c r="C279" s="301" t="s">
        <v>94</v>
      </c>
      <c r="D279" s="301" t="s">
        <v>94</v>
      </c>
      <c r="E279" s="117" t="s">
        <v>329</v>
      </c>
      <c r="F279" s="117" t="s">
        <v>330</v>
      </c>
      <c r="G279" s="101">
        <v>1</v>
      </c>
      <c r="H279" s="88"/>
      <c r="I279" s="88">
        <v>10</v>
      </c>
      <c r="J279" s="135"/>
      <c r="K279" s="117" t="s">
        <v>83</v>
      </c>
      <c r="L279" s="117" t="s">
        <v>3</v>
      </c>
      <c r="M279" s="32">
        <f>31500000-2016000</f>
        <v>29484000</v>
      </c>
      <c r="N279" s="520" t="s">
        <v>856</v>
      </c>
      <c r="O279" s="520" t="s">
        <v>4</v>
      </c>
      <c r="P279" s="32"/>
      <c r="Q279" s="89"/>
      <c r="R279" s="32">
        <v>31500000</v>
      </c>
      <c r="S279" s="150" t="s">
        <v>67</v>
      </c>
      <c r="T279" s="87" t="s">
        <v>66</v>
      </c>
      <c r="U279" s="32">
        <v>0</v>
      </c>
      <c r="V279" s="87" t="s">
        <v>67</v>
      </c>
      <c r="W279" s="87" t="s">
        <v>68</v>
      </c>
      <c r="X279" s="117" t="s">
        <v>99</v>
      </c>
      <c r="Y279" s="160">
        <v>3422121</v>
      </c>
      <c r="Z279" s="137" t="s">
        <v>1173</v>
      </c>
      <c r="AA279" s="117" t="s">
        <v>67</v>
      </c>
      <c r="AB279" s="117"/>
      <c r="AC279" s="162"/>
      <c r="AD279" s="87"/>
      <c r="AE279" s="87"/>
      <c r="AF279" s="87"/>
      <c r="AG279" s="87"/>
      <c r="AH279" s="87"/>
    </row>
    <row r="280" spans="1:34" s="118" customFormat="1" ht="24.95" customHeight="1" x14ac:dyDescent="0.25">
      <c r="A280" s="285">
        <v>80111621</v>
      </c>
      <c r="B280" s="301" t="s">
        <v>58</v>
      </c>
      <c r="C280" s="301" t="s">
        <v>94</v>
      </c>
      <c r="D280" s="301" t="s">
        <v>94</v>
      </c>
      <c r="E280" s="117" t="s">
        <v>329</v>
      </c>
      <c r="F280" s="117" t="s">
        <v>331</v>
      </c>
      <c r="G280" s="101">
        <v>1</v>
      </c>
      <c r="H280" s="88"/>
      <c r="I280" s="88">
        <v>10</v>
      </c>
      <c r="J280" s="135"/>
      <c r="K280" s="117" t="s">
        <v>83</v>
      </c>
      <c r="L280" s="117" t="s">
        <v>3</v>
      </c>
      <c r="M280" s="77">
        <f>24000000-10000000</f>
        <v>14000000</v>
      </c>
      <c r="N280" s="520" t="s">
        <v>856</v>
      </c>
      <c r="O280" s="520" t="s">
        <v>4</v>
      </c>
      <c r="P280" s="77"/>
      <c r="Q280" s="522"/>
      <c r="R280" s="77">
        <f>24000000-10000000</f>
        <v>14000000</v>
      </c>
      <c r="S280" s="150" t="s">
        <v>67</v>
      </c>
      <c r="T280" s="87" t="s">
        <v>66</v>
      </c>
      <c r="U280" s="32">
        <v>0</v>
      </c>
      <c r="V280" s="87" t="s">
        <v>67</v>
      </c>
      <c r="W280" s="87" t="s">
        <v>68</v>
      </c>
      <c r="X280" s="117" t="s">
        <v>99</v>
      </c>
      <c r="Y280" s="160">
        <v>3422121</v>
      </c>
      <c r="Z280" s="137" t="s">
        <v>1173</v>
      </c>
      <c r="AA280" s="117" t="s">
        <v>67</v>
      </c>
      <c r="AB280" s="117"/>
      <c r="AC280" s="162"/>
      <c r="AD280" s="87"/>
      <c r="AE280" s="87"/>
      <c r="AF280" s="87"/>
      <c r="AG280" s="87"/>
      <c r="AH280" s="87"/>
    </row>
    <row r="281" spans="1:34" s="118" customFormat="1" ht="24.95" customHeight="1" x14ac:dyDescent="0.25">
      <c r="A281" s="285">
        <v>80111621</v>
      </c>
      <c r="B281" s="301" t="s">
        <v>58</v>
      </c>
      <c r="C281" s="301" t="s">
        <v>94</v>
      </c>
      <c r="D281" s="301" t="s">
        <v>94</v>
      </c>
      <c r="E281" s="117" t="s">
        <v>329</v>
      </c>
      <c r="F281" s="117" t="s">
        <v>332</v>
      </c>
      <c r="G281" s="101">
        <v>2</v>
      </c>
      <c r="H281" s="88"/>
      <c r="I281" s="88">
        <v>4</v>
      </c>
      <c r="J281" s="135"/>
      <c r="K281" s="117" t="s">
        <v>83</v>
      </c>
      <c r="L281" s="117" t="s">
        <v>3</v>
      </c>
      <c r="M281" s="32">
        <v>4800000</v>
      </c>
      <c r="N281" s="520" t="s">
        <v>856</v>
      </c>
      <c r="O281" s="520" t="s">
        <v>4</v>
      </c>
      <c r="P281" s="32"/>
      <c r="Q281" s="89"/>
      <c r="R281" s="32">
        <v>4800000</v>
      </c>
      <c r="S281" s="150" t="s">
        <v>67</v>
      </c>
      <c r="T281" s="87" t="s">
        <v>66</v>
      </c>
      <c r="U281" s="32">
        <v>0</v>
      </c>
      <c r="V281" s="87" t="s">
        <v>67</v>
      </c>
      <c r="W281" s="87" t="s">
        <v>68</v>
      </c>
      <c r="X281" s="117" t="s">
        <v>99</v>
      </c>
      <c r="Y281" s="160">
        <v>3422121</v>
      </c>
      <c r="Z281" s="137" t="s">
        <v>1173</v>
      </c>
      <c r="AA281" s="117" t="s">
        <v>67</v>
      </c>
      <c r="AB281" s="117"/>
      <c r="AC281" s="162"/>
      <c r="AD281" s="87"/>
      <c r="AE281" s="87"/>
      <c r="AF281" s="87"/>
      <c r="AG281" s="87"/>
      <c r="AH281" s="87"/>
    </row>
    <row r="282" spans="1:34" s="118" customFormat="1" ht="24.95" customHeight="1" x14ac:dyDescent="0.25">
      <c r="A282" s="285">
        <v>80111621</v>
      </c>
      <c r="B282" s="301" t="s">
        <v>58</v>
      </c>
      <c r="C282" s="301" t="s">
        <v>94</v>
      </c>
      <c r="D282" s="301" t="s">
        <v>94</v>
      </c>
      <c r="E282" s="117" t="s">
        <v>333</v>
      </c>
      <c r="F282" s="117" t="s">
        <v>334</v>
      </c>
      <c r="G282" s="101">
        <v>2</v>
      </c>
      <c r="H282" s="88"/>
      <c r="I282" s="88">
        <v>10</v>
      </c>
      <c r="J282" s="135"/>
      <c r="K282" s="117" t="s">
        <v>83</v>
      </c>
      <c r="L282" s="117" t="s">
        <v>3</v>
      </c>
      <c r="M282" s="78">
        <f>20000000-1280000</f>
        <v>18720000</v>
      </c>
      <c r="N282" s="520" t="s">
        <v>856</v>
      </c>
      <c r="O282" s="520" t="s">
        <v>4</v>
      </c>
      <c r="P282" s="78"/>
      <c r="Q282" s="523"/>
      <c r="R282" s="78">
        <v>20000000</v>
      </c>
      <c r="S282" s="150" t="s">
        <v>67</v>
      </c>
      <c r="T282" s="87" t="s">
        <v>66</v>
      </c>
      <c r="U282" s="32">
        <v>0</v>
      </c>
      <c r="V282" s="87" t="s">
        <v>67</v>
      </c>
      <c r="W282" s="87" t="s">
        <v>68</v>
      </c>
      <c r="X282" s="117" t="s">
        <v>99</v>
      </c>
      <c r="Y282" s="160">
        <v>3422121</v>
      </c>
      <c r="Z282" s="137" t="s">
        <v>1173</v>
      </c>
      <c r="AA282" s="117" t="s">
        <v>1174</v>
      </c>
      <c r="AB282" s="117"/>
      <c r="AC282" s="162"/>
      <c r="AD282" s="87"/>
      <c r="AE282" s="87"/>
      <c r="AF282" s="87"/>
      <c r="AG282" s="87"/>
      <c r="AH282" s="87"/>
    </row>
    <row r="283" spans="1:34" s="118" customFormat="1" ht="24.95" customHeight="1" x14ac:dyDescent="0.25">
      <c r="A283" s="285">
        <v>80111621</v>
      </c>
      <c r="B283" s="301" t="s">
        <v>58</v>
      </c>
      <c r="C283" s="301" t="s">
        <v>94</v>
      </c>
      <c r="D283" s="301" t="s">
        <v>94</v>
      </c>
      <c r="E283" s="117" t="s">
        <v>333</v>
      </c>
      <c r="F283" s="117" t="s">
        <v>335</v>
      </c>
      <c r="G283" s="101">
        <v>2</v>
      </c>
      <c r="H283" s="88"/>
      <c r="I283" s="88">
        <v>5</v>
      </c>
      <c r="J283" s="135"/>
      <c r="K283" s="117" t="s">
        <v>83</v>
      </c>
      <c r="L283" s="117" t="s">
        <v>3</v>
      </c>
      <c r="M283" s="32">
        <f>10000000-640000</f>
        <v>9360000</v>
      </c>
      <c r="N283" s="520" t="s">
        <v>856</v>
      </c>
      <c r="O283" s="520" t="s">
        <v>4</v>
      </c>
      <c r="P283" s="32"/>
      <c r="Q283" s="89"/>
      <c r="R283" s="32">
        <v>10000000</v>
      </c>
      <c r="S283" s="150" t="s">
        <v>67</v>
      </c>
      <c r="T283" s="87" t="s">
        <v>66</v>
      </c>
      <c r="U283" s="32">
        <v>0</v>
      </c>
      <c r="V283" s="87" t="s">
        <v>67</v>
      </c>
      <c r="W283" s="87" t="s">
        <v>68</v>
      </c>
      <c r="X283" s="117" t="s">
        <v>99</v>
      </c>
      <c r="Y283" s="160">
        <v>3422121</v>
      </c>
      <c r="Z283" s="137" t="s">
        <v>1173</v>
      </c>
      <c r="AA283" s="117" t="s">
        <v>1175</v>
      </c>
      <c r="AB283" s="117"/>
      <c r="AC283" s="162"/>
      <c r="AD283" s="87"/>
      <c r="AE283" s="87"/>
      <c r="AF283" s="87"/>
      <c r="AG283" s="87"/>
      <c r="AH283" s="87"/>
    </row>
    <row r="284" spans="1:34" ht="24.95" customHeight="1" x14ac:dyDescent="0.25">
      <c r="A284" s="286">
        <v>78111506</v>
      </c>
      <c r="B284" s="308" t="s">
        <v>58</v>
      </c>
      <c r="C284" s="308" t="s">
        <v>94</v>
      </c>
      <c r="D284" s="308" t="s">
        <v>94</v>
      </c>
      <c r="E284" s="255" t="s">
        <v>1176</v>
      </c>
      <c r="F284" s="256" t="s">
        <v>1177</v>
      </c>
      <c r="G284" s="329">
        <v>8</v>
      </c>
      <c r="H284" s="257"/>
      <c r="I284" s="257"/>
      <c r="J284" s="258"/>
      <c r="K284" s="255" t="s">
        <v>83</v>
      </c>
      <c r="L284" s="115" t="s">
        <v>67</v>
      </c>
      <c r="M284" s="259">
        <f>4000000-4000000</f>
        <v>0</v>
      </c>
      <c r="N284" s="259"/>
      <c r="O284" s="259"/>
      <c r="P284" s="259"/>
      <c r="Q284" s="524"/>
      <c r="R284" s="259">
        <v>4000000</v>
      </c>
      <c r="S284" s="276" t="s">
        <v>67</v>
      </c>
      <c r="T284" s="256" t="s">
        <v>66</v>
      </c>
      <c r="U284" s="277">
        <v>0</v>
      </c>
      <c r="V284" s="256" t="s">
        <v>67</v>
      </c>
      <c r="W284" s="256" t="s">
        <v>68</v>
      </c>
      <c r="X284" s="255" t="s">
        <v>99</v>
      </c>
      <c r="Y284" s="278">
        <v>3422121</v>
      </c>
      <c r="Z284" s="279" t="s">
        <v>1173</v>
      </c>
      <c r="AA284" s="255" t="s">
        <v>1178</v>
      </c>
      <c r="AB284" s="70"/>
      <c r="AC284" s="164"/>
      <c r="AD284" s="69"/>
      <c r="AE284" s="69"/>
      <c r="AF284" s="69"/>
      <c r="AG284" s="69"/>
      <c r="AH284" s="69"/>
    </row>
    <row r="285" spans="1:34" s="118" customFormat="1" ht="24.95" customHeight="1" x14ac:dyDescent="0.25">
      <c r="A285" s="285">
        <v>80111621</v>
      </c>
      <c r="B285" s="301" t="s">
        <v>58</v>
      </c>
      <c r="C285" s="301" t="s">
        <v>94</v>
      </c>
      <c r="D285" s="301" t="s">
        <v>94</v>
      </c>
      <c r="E285" s="117" t="s">
        <v>336</v>
      </c>
      <c r="F285" s="117" t="s">
        <v>337</v>
      </c>
      <c r="G285" s="101">
        <v>1</v>
      </c>
      <c r="H285" s="88"/>
      <c r="I285" s="88">
        <v>10</v>
      </c>
      <c r="J285" s="135"/>
      <c r="K285" s="117" t="s">
        <v>83</v>
      </c>
      <c r="L285" s="117" t="s">
        <v>3</v>
      </c>
      <c r="M285" s="79">
        <f>51714075-3309701</f>
        <v>48404374</v>
      </c>
      <c r="N285" s="520" t="s">
        <v>856</v>
      </c>
      <c r="O285" s="520" t="s">
        <v>4</v>
      </c>
      <c r="P285" s="79"/>
      <c r="Q285" s="152"/>
      <c r="R285" s="79">
        <v>51714075</v>
      </c>
      <c r="S285" s="150" t="s">
        <v>67</v>
      </c>
      <c r="T285" s="87" t="s">
        <v>66</v>
      </c>
      <c r="U285" s="32">
        <v>0</v>
      </c>
      <c r="V285" s="87" t="s">
        <v>67</v>
      </c>
      <c r="W285" s="87" t="s">
        <v>68</v>
      </c>
      <c r="X285" s="117" t="s">
        <v>99</v>
      </c>
      <c r="Y285" s="160">
        <v>3422121</v>
      </c>
      <c r="Z285" s="137" t="s">
        <v>1173</v>
      </c>
      <c r="AA285" s="117" t="s">
        <v>338</v>
      </c>
      <c r="AB285" s="117"/>
      <c r="AC285" s="162"/>
      <c r="AD285" s="87"/>
      <c r="AE285" s="87"/>
      <c r="AF285" s="87"/>
      <c r="AG285" s="87"/>
      <c r="AH285" s="87"/>
    </row>
    <row r="286" spans="1:34" s="118" customFormat="1" ht="24.95" customHeight="1" x14ac:dyDescent="0.25">
      <c r="A286" s="285">
        <v>80111621</v>
      </c>
      <c r="B286" s="301" t="s">
        <v>58</v>
      </c>
      <c r="C286" s="301" t="s">
        <v>94</v>
      </c>
      <c r="D286" s="301" t="s">
        <v>94</v>
      </c>
      <c r="E286" s="117" t="s">
        <v>339</v>
      </c>
      <c r="F286" s="117" t="s">
        <v>330</v>
      </c>
      <c r="G286" s="101">
        <v>1</v>
      </c>
      <c r="H286" s="88"/>
      <c r="I286" s="88">
        <v>10</v>
      </c>
      <c r="J286" s="135"/>
      <c r="K286" s="117" t="s">
        <v>83</v>
      </c>
      <c r="L286" s="117" t="s">
        <v>3</v>
      </c>
      <c r="M286" s="77">
        <f>30900000-1977600</f>
        <v>28922400</v>
      </c>
      <c r="N286" s="520" t="s">
        <v>856</v>
      </c>
      <c r="O286" s="520" t="s">
        <v>4</v>
      </c>
      <c r="P286" s="77"/>
      <c r="Q286" s="522"/>
      <c r="R286" s="77">
        <v>30900000</v>
      </c>
      <c r="S286" s="150" t="s">
        <v>67</v>
      </c>
      <c r="T286" s="87" t="s">
        <v>66</v>
      </c>
      <c r="U286" s="32">
        <v>0</v>
      </c>
      <c r="V286" s="87" t="s">
        <v>67</v>
      </c>
      <c r="W286" s="87" t="s">
        <v>68</v>
      </c>
      <c r="X286" s="117" t="s">
        <v>99</v>
      </c>
      <c r="Y286" s="160">
        <v>3422121</v>
      </c>
      <c r="Z286" s="137" t="s">
        <v>1173</v>
      </c>
      <c r="AA286" s="117" t="s">
        <v>340</v>
      </c>
      <c r="AB286" s="117"/>
      <c r="AC286" s="162"/>
      <c r="AD286" s="87"/>
      <c r="AE286" s="87"/>
      <c r="AF286" s="87"/>
      <c r="AG286" s="87"/>
      <c r="AH286" s="87"/>
    </row>
    <row r="287" spans="1:34" s="118" customFormat="1" ht="24.95" customHeight="1" x14ac:dyDescent="0.25">
      <c r="A287" s="285">
        <v>60103600</v>
      </c>
      <c r="B287" s="301" t="s">
        <v>58</v>
      </c>
      <c r="C287" s="301" t="s">
        <v>94</v>
      </c>
      <c r="D287" s="301" t="s">
        <v>94</v>
      </c>
      <c r="E287" s="117" t="s">
        <v>341</v>
      </c>
      <c r="F287" s="117" t="s">
        <v>342</v>
      </c>
      <c r="G287" s="101">
        <v>1</v>
      </c>
      <c r="H287" s="88"/>
      <c r="I287" s="88"/>
      <c r="J287" s="135"/>
      <c r="K287" s="117" t="s">
        <v>83</v>
      </c>
      <c r="L287" s="117" t="s">
        <v>3</v>
      </c>
      <c r="M287" s="79">
        <v>500000</v>
      </c>
      <c r="N287" s="520" t="s">
        <v>856</v>
      </c>
      <c r="O287" s="520" t="s">
        <v>4</v>
      </c>
      <c r="P287" s="79"/>
      <c r="Q287" s="152"/>
      <c r="R287" s="79">
        <v>500000</v>
      </c>
      <c r="S287" s="150" t="s">
        <v>67</v>
      </c>
      <c r="T287" s="87" t="s">
        <v>66</v>
      </c>
      <c r="U287" s="32">
        <v>0</v>
      </c>
      <c r="V287" s="87" t="s">
        <v>67</v>
      </c>
      <c r="W287" s="87" t="s">
        <v>68</v>
      </c>
      <c r="X287" s="117" t="s">
        <v>99</v>
      </c>
      <c r="Y287" s="160">
        <v>3422121</v>
      </c>
      <c r="Z287" s="137" t="s">
        <v>1173</v>
      </c>
      <c r="AA287" s="117" t="s">
        <v>253</v>
      </c>
      <c r="AB287" s="117"/>
      <c r="AC287" s="162"/>
      <c r="AD287" s="87"/>
      <c r="AE287" s="87"/>
      <c r="AF287" s="87"/>
      <c r="AG287" s="87"/>
      <c r="AH287" s="87"/>
    </row>
    <row r="288" spans="1:34" ht="24.95" customHeight="1" x14ac:dyDescent="0.25">
      <c r="A288" s="287">
        <v>80111621</v>
      </c>
      <c r="B288" s="309" t="s">
        <v>58</v>
      </c>
      <c r="C288" s="309" t="s">
        <v>94</v>
      </c>
      <c r="D288" s="309" t="s">
        <v>94</v>
      </c>
      <c r="E288" s="260" t="s">
        <v>1179</v>
      </c>
      <c r="F288" s="261" t="s">
        <v>337</v>
      </c>
      <c r="G288" s="330">
        <v>1</v>
      </c>
      <c r="H288" s="262"/>
      <c r="I288" s="262">
        <v>10</v>
      </c>
      <c r="J288" s="263"/>
      <c r="K288" s="260" t="s">
        <v>83</v>
      </c>
      <c r="L288" s="115" t="s">
        <v>67</v>
      </c>
      <c r="M288" s="264">
        <f>32445000-32445000</f>
        <v>0</v>
      </c>
      <c r="N288" s="264"/>
      <c r="O288" s="264"/>
      <c r="P288" s="264"/>
      <c r="Q288" s="525"/>
      <c r="R288" s="264">
        <v>32445000</v>
      </c>
      <c r="S288" s="280" t="s">
        <v>67</v>
      </c>
      <c r="T288" s="261" t="s">
        <v>66</v>
      </c>
      <c r="U288" s="273">
        <v>0</v>
      </c>
      <c r="V288" s="261" t="s">
        <v>67</v>
      </c>
      <c r="W288" s="261" t="s">
        <v>68</v>
      </c>
      <c r="X288" s="260" t="s">
        <v>99</v>
      </c>
      <c r="Y288" s="274">
        <v>3422121</v>
      </c>
      <c r="Z288" s="275" t="s">
        <v>1173</v>
      </c>
      <c r="AA288" s="260" t="s">
        <v>1180</v>
      </c>
      <c r="AB288" s="70"/>
      <c r="AC288" s="164"/>
      <c r="AD288" s="69"/>
      <c r="AE288" s="69"/>
      <c r="AF288" s="69"/>
      <c r="AG288" s="69"/>
      <c r="AH288" s="69"/>
    </row>
    <row r="289" spans="1:34" ht="24.95" customHeight="1" x14ac:dyDescent="0.25">
      <c r="A289" s="288">
        <v>78141500</v>
      </c>
      <c r="B289" s="310" t="s">
        <v>58</v>
      </c>
      <c r="C289" s="310" t="s">
        <v>94</v>
      </c>
      <c r="D289" s="310" t="s">
        <v>94</v>
      </c>
      <c r="E289" s="196" t="s">
        <v>1179</v>
      </c>
      <c r="F289" s="197" t="s">
        <v>1181</v>
      </c>
      <c r="G289" s="331">
        <v>4</v>
      </c>
      <c r="H289" s="198"/>
      <c r="I289" s="198"/>
      <c r="J289" s="199"/>
      <c r="K289" s="196" t="s">
        <v>83</v>
      </c>
      <c r="L289" s="115" t="s">
        <v>67</v>
      </c>
      <c r="M289" s="200">
        <f>650000-650000</f>
        <v>0</v>
      </c>
      <c r="N289" s="200"/>
      <c r="O289" s="200"/>
      <c r="P289" s="200"/>
      <c r="Q289" s="526"/>
      <c r="R289" s="200">
        <v>650000</v>
      </c>
      <c r="S289" s="281" t="s">
        <v>67</v>
      </c>
      <c r="T289" s="197" t="s">
        <v>66</v>
      </c>
      <c r="U289" s="211">
        <v>0</v>
      </c>
      <c r="V289" s="197" t="s">
        <v>67</v>
      </c>
      <c r="W289" s="197" t="s">
        <v>68</v>
      </c>
      <c r="X289" s="196" t="s">
        <v>99</v>
      </c>
      <c r="Y289" s="212">
        <v>3422121</v>
      </c>
      <c r="Z289" s="213" t="s">
        <v>1173</v>
      </c>
      <c r="AA289" s="196" t="s">
        <v>1180</v>
      </c>
      <c r="AB289" s="70"/>
      <c r="AC289" s="164"/>
      <c r="AD289" s="69"/>
      <c r="AE289" s="69"/>
      <c r="AF289" s="69"/>
      <c r="AG289" s="69"/>
      <c r="AH289" s="69"/>
    </row>
    <row r="290" spans="1:34" s="118" customFormat="1" ht="24.95" customHeight="1" x14ac:dyDescent="0.25">
      <c r="A290" s="285">
        <v>60103600</v>
      </c>
      <c r="B290" s="301" t="s">
        <v>58</v>
      </c>
      <c r="C290" s="301" t="s">
        <v>94</v>
      </c>
      <c r="D290" s="301" t="s">
        <v>94</v>
      </c>
      <c r="E290" s="117" t="s">
        <v>343</v>
      </c>
      <c r="F290" s="117" t="s">
        <v>344</v>
      </c>
      <c r="G290" s="101">
        <v>1</v>
      </c>
      <c r="H290" s="88"/>
      <c r="I290" s="88"/>
      <c r="J290" s="135"/>
      <c r="K290" s="117" t="s">
        <v>83</v>
      </c>
      <c r="L290" s="117" t="s">
        <v>10</v>
      </c>
      <c r="M290" s="32">
        <v>500000</v>
      </c>
      <c r="N290" s="220" t="s">
        <v>877</v>
      </c>
      <c r="O290" s="89" t="s">
        <v>5</v>
      </c>
      <c r="P290" s="512">
        <v>201891000290</v>
      </c>
      <c r="Q290" s="220" t="s">
        <v>949</v>
      </c>
      <c r="R290" s="32">
        <v>500000</v>
      </c>
      <c r="S290" s="150" t="s">
        <v>67</v>
      </c>
      <c r="T290" s="87" t="s">
        <v>66</v>
      </c>
      <c r="U290" s="32">
        <v>0</v>
      </c>
      <c r="V290" s="87" t="s">
        <v>67</v>
      </c>
      <c r="W290" s="87" t="s">
        <v>68</v>
      </c>
      <c r="X290" s="117" t="s">
        <v>99</v>
      </c>
      <c r="Y290" s="160">
        <v>3422121</v>
      </c>
      <c r="Z290" s="137" t="s">
        <v>1173</v>
      </c>
      <c r="AA290" s="117" t="s">
        <v>345</v>
      </c>
      <c r="AB290" s="117"/>
      <c r="AC290" s="162"/>
      <c r="AD290" s="87"/>
      <c r="AE290" s="87"/>
      <c r="AF290" s="87"/>
      <c r="AG290" s="87"/>
      <c r="AH290" s="87"/>
    </row>
    <row r="291" spans="1:34" s="118" customFormat="1" ht="24.95" customHeight="1" x14ac:dyDescent="0.25">
      <c r="A291" s="285">
        <v>80111621</v>
      </c>
      <c r="B291" s="301" t="s">
        <v>58</v>
      </c>
      <c r="C291" s="301" t="s">
        <v>94</v>
      </c>
      <c r="D291" s="301" t="s">
        <v>94</v>
      </c>
      <c r="E291" s="117" t="s">
        <v>347</v>
      </c>
      <c r="F291" s="117" t="s">
        <v>331</v>
      </c>
      <c r="G291" s="101">
        <v>1</v>
      </c>
      <c r="H291" s="88"/>
      <c r="I291" s="88">
        <v>10</v>
      </c>
      <c r="J291" s="135"/>
      <c r="K291" s="117" t="s">
        <v>83</v>
      </c>
      <c r="L291" s="117" t="s">
        <v>3</v>
      </c>
      <c r="M291" s="77">
        <f>28000000-1879925</f>
        <v>26120075</v>
      </c>
      <c r="N291" s="520" t="s">
        <v>856</v>
      </c>
      <c r="O291" s="520" t="s">
        <v>4</v>
      </c>
      <c r="P291" s="77"/>
      <c r="Q291" s="522"/>
      <c r="R291" s="77">
        <v>28000000</v>
      </c>
      <c r="S291" s="150" t="s">
        <v>67</v>
      </c>
      <c r="T291" s="87" t="s">
        <v>66</v>
      </c>
      <c r="U291" s="32">
        <v>0</v>
      </c>
      <c r="V291" s="87" t="s">
        <v>67</v>
      </c>
      <c r="W291" s="87" t="s">
        <v>68</v>
      </c>
      <c r="X291" s="117" t="s">
        <v>99</v>
      </c>
      <c r="Y291" s="160">
        <v>3422121</v>
      </c>
      <c r="Z291" s="137" t="s">
        <v>1173</v>
      </c>
      <c r="AA291" s="117" t="s">
        <v>1182</v>
      </c>
      <c r="AB291" s="117"/>
      <c r="AC291" s="162"/>
      <c r="AD291" s="87"/>
      <c r="AE291" s="87"/>
      <c r="AF291" s="87"/>
      <c r="AG291" s="87"/>
      <c r="AH291" s="87"/>
    </row>
    <row r="292" spans="1:34" s="118" customFormat="1" ht="24.95" customHeight="1" x14ac:dyDescent="0.25">
      <c r="A292" s="285">
        <v>60103600</v>
      </c>
      <c r="B292" s="301" t="s">
        <v>58</v>
      </c>
      <c r="C292" s="301" t="s">
        <v>94</v>
      </c>
      <c r="D292" s="301" t="s">
        <v>94</v>
      </c>
      <c r="E292" s="117" t="s">
        <v>348</v>
      </c>
      <c r="F292" s="117" t="s">
        <v>349</v>
      </c>
      <c r="G292" s="101">
        <v>1</v>
      </c>
      <c r="H292" s="135"/>
      <c r="I292" s="135"/>
      <c r="J292" s="135"/>
      <c r="K292" s="117" t="s">
        <v>83</v>
      </c>
      <c r="L292" s="117" t="s">
        <v>10</v>
      </c>
      <c r="M292" s="79">
        <f>1200000</f>
        <v>1200000</v>
      </c>
      <c r="N292" s="220" t="s">
        <v>877</v>
      </c>
      <c r="O292" s="89" t="s">
        <v>5</v>
      </c>
      <c r="P292" s="512">
        <v>201891000290</v>
      </c>
      <c r="Q292" s="220" t="s">
        <v>949</v>
      </c>
      <c r="R292" s="79">
        <v>1200000</v>
      </c>
      <c r="S292" s="150" t="s">
        <v>67</v>
      </c>
      <c r="T292" s="87" t="s">
        <v>66</v>
      </c>
      <c r="U292" s="32">
        <v>0</v>
      </c>
      <c r="V292" s="87" t="s">
        <v>67</v>
      </c>
      <c r="W292" s="87" t="s">
        <v>68</v>
      </c>
      <c r="X292" s="117" t="s">
        <v>99</v>
      </c>
      <c r="Y292" s="160">
        <v>3422121</v>
      </c>
      <c r="Z292" s="137" t="s">
        <v>1173</v>
      </c>
      <c r="AA292" s="139" t="s">
        <v>350</v>
      </c>
      <c r="AB292" s="117"/>
      <c r="AC292" s="162"/>
      <c r="AD292" s="87"/>
      <c r="AE292" s="87"/>
      <c r="AF292" s="87"/>
      <c r="AG292" s="87"/>
      <c r="AH292" s="87"/>
    </row>
    <row r="293" spans="1:34" s="118" customFormat="1" ht="24.95" customHeight="1" x14ac:dyDescent="0.25">
      <c r="A293" s="285">
        <v>80111621</v>
      </c>
      <c r="B293" s="301" t="s">
        <v>58</v>
      </c>
      <c r="C293" s="301" t="s">
        <v>94</v>
      </c>
      <c r="D293" s="301" t="s">
        <v>94</v>
      </c>
      <c r="E293" s="117" t="s">
        <v>351</v>
      </c>
      <c r="F293" s="117" t="s">
        <v>352</v>
      </c>
      <c r="G293" s="101">
        <v>1</v>
      </c>
      <c r="H293" s="135"/>
      <c r="I293" s="135">
        <v>10</v>
      </c>
      <c r="J293" s="135"/>
      <c r="K293" s="117" t="s">
        <v>83</v>
      </c>
      <c r="L293" s="117" t="s">
        <v>3</v>
      </c>
      <c r="M293" s="79">
        <f>53817500-3444320</f>
        <v>50373180</v>
      </c>
      <c r="N293" s="520" t="s">
        <v>856</v>
      </c>
      <c r="O293" s="520" t="s">
        <v>4</v>
      </c>
      <c r="P293" s="79"/>
      <c r="Q293" s="152"/>
      <c r="R293" s="79">
        <v>53817500</v>
      </c>
      <c r="S293" s="150" t="s">
        <v>67</v>
      </c>
      <c r="T293" s="87" t="s">
        <v>66</v>
      </c>
      <c r="U293" s="32">
        <v>0</v>
      </c>
      <c r="V293" s="87" t="s">
        <v>67</v>
      </c>
      <c r="W293" s="87" t="s">
        <v>68</v>
      </c>
      <c r="X293" s="117" t="s">
        <v>99</v>
      </c>
      <c r="Y293" s="160">
        <v>3422121</v>
      </c>
      <c r="Z293" s="137" t="s">
        <v>1173</v>
      </c>
      <c r="AA293" s="117" t="s">
        <v>353</v>
      </c>
      <c r="AB293" s="117"/>
      <c r="AC293" s="162"/>
      <c r="AD293" s="87"/>
      <c r="AE293" s="87"/>
      <c r="AF293" s="87"/>
      <c r="AG293" s="87"/>
      <c r="AH293" s="87"/>
    </row>
    <row r="294" spans="1:34" s="118" customFormat="1" ht="24.95" customHeight="1" x14ac:dyDescent="0.25">
      <c r="A294" s="285">
        <v>80111621</v>
      </c>
      <c r="B294" s="301" t="s">
        <v>58</v>
      </c>
      <c r="C294" s="301" t="s">
        <v>94</v>
      </c>
      <c r="D294" s="301" t="s">
        <v>94</v>
      </c>
      <c r="E294" s="117" t="s">
        <v>351</v>
      </c>
      <c r="F294" s="117" t="s">
        <v>354</v>
      </c>
      <c r="G294" s="101">
        <v>1</v>
      </c>
      <c r="H294" s="135"/>
      <c r="I294" s="135"/>
      <c r="J294" s="135"/>
      <c r="K294" s="117" t="s">
        <v>83</v>
      </c>
      <c r="L294" s="117" t="s">
        <v>3</v>
      </c>
      <c r="M294" s="77">
        <v>8000000</v>
      </c>
      <c r="N294" s="520" t="s">
        <v>856</v>
      </c>
      <c r="O294" s="520" t="s">
        <v>4</v>
      </c>
      <c r="P294" s="77"/>
      <c r="Q294" s="522"/>
      <c r="R294" s="77">
        <v>8000000</v>
      </c>
      <c r="S294" s="150" t="s">
        <v>67</v>
      </c>
      <c r="T294" s="87" t="s">
        <v>66</v>
      </c>
      <c r="U294" s="32">
        <v>0</v>
      </c>
      <c r="V294" s="87" t="s">
        <v>67</v>
      </c>
      <c r="W294" s="87" t="s">
        <v>68</v>
      </c>
      <c r="X294" s="117" t="s">
        <v>99</v>
      </c>
      <c r="Y294" s="160">
        <v>3422121</v>
      </c>
      <c r="Z294" s="137" t="s">
        <v>1173</v>
      </c>
      <c r="AA294" s="117" t="s">
        <v>355</v>
      </c>
      <c r="AB294" s="117"/>
      <c r="AC294" s="162"/>
      <c r="AD294" s="87"/>
      <c r="AE294" s="87"/>
      <c r="AF294" s="87"/>
      <c r="AG294" s="87"/>
      <c r="AH294" s="87"/>
    </row>
    <row r="295" spans="1:34" s="118" customFormat="1" ht="24.95" customHeight="1" x14ac:dyDescent="0.25">
      <c r="A295" s="285">
        <v>90121603</v>
      </c>
      <c r="B295" s="301" t="s">
        <v>58</v>
      </c>
      <c r="C295" s="301" t="s">
        <v>94</v>
      </c>
      <c r="D295" s="301" t="s">
        <v>94</v>
      </c>
      <c r="E295" s="117" t="s">
        <v>351</v>
      </c>
      <c r="F295" s="117" t="s">
        <v>1183</v>
      </c>
      <c r="G295" s="101">
        <v>6</v>
      </c>
      <c r="H295" s="135"/>
      <c r="I295" s="135"/>
      <c r="J295" s="135"/>
      <c r="K295" s="117" t="s">
        <v>83</v>
      </c>
      <c r="L295" s="117" t="s">
        <v>3</v>
      </c>
      <c r="M295" s="77">
        <f>1093111-2148</f>
        <v>1090963</v>
      </c>
      <c r="N295" s="220" t="s">
        <v>877</v>
      </c>
      <c r="O295" s="89" t="s">
        <v>5</v>
      </c>
      <c r="P295" s="512">
        <v>201891000290</v>
      </c>
      <c r="Q295" s="220" t="s">
        <v>949</v>
      </c>
      <c r="R295" s="77"/>
      <c r="S295" s="150" t="s">
        <v>67</v>
      </c>
      <c r="T295" s="87" t="s">
        <v>66</v>
      </c>
      <c r="U295" s="32">
        <v>0</v>
      </c>
      <c r="V295" s="87" t="s">
        <v>67</v>
      </c>
      <c r="W295" s="87" t="s">
        <v>68</v>
      </c>
      <c r="X295" s="117" t="s">
        <v>99</v>
      </c>
      <c r="Y295" s="160">
        <v>3422121</v>
      </c>
      <c r="Z295" s="137" t="s">
        <v>1173</v>
      </c>
      <c r="AA295" s="117" t="s">
        <v>353</v>
      </c>
      <c r="AB295" s="117"/>
      <c r="AC295" s="162"/>
      <c r="AD295" s="87"/>
      <c r="AE295" s="87"/>
      <c r="AF295" s="87"/>
      <c r="AG295" s="87"/>
      <c r="AH295" s="87"/>
    </row>
    <row r="296" spans="1:34" s="118" customFormat="1" ht="24.95" customHeight="1" x14ac:dyDescent="0.25">
      <c r="A296" s="285">
        <v>90121604</v>
      </c>
      <c r="B296" s="301" t="s">
        <v>58</v>
      </c>
      <c r="C296" s="301" t="s">
        <v>94</v>
      </c>
      <c r="D296" s="301" t="s">
        <v>94</v>
      </c>
      <c r="E296" s="117" t="s">
        <v>351</v>
      </c>
      <c r="F296" s="117" t="s">
        <v>1183</v>
      </c>
      <c r="G296" s="101">
        <v>7</v>
      </c>
      <c r="H296" s="135"/>
      <c r="I296" s="135"/>
      <c r="J296" s="135"/>
      <c r="K296" s="117" t="s">
        <v>83</v>
      </c>
      <c r="L296" s="117" t="s">
        <v>10</v>
      </c>
      <c r="M296" s="77">
        <v>2148</v>
      </c>
      <c r="N296" s="220" t="s">
        <v>856</v>
      </c>
      <c r="O296" s="89" t="s">
        <v>4</v>
      </c>
      <c r="P296" s="512">
        <v>201891000290</v>
      </c>
      <c r="Q296" s="220" t="s">
        <v>949</v>
      </c>
      <c r="R296" s="77"/>
      <c r="S296" s="150" t="s">
        <v>67</v>
      </c>
      <c r="T296" s="87" t="s">
        <v>66</v>
      </c>
      <c r="U296" s="32">
        <v>1</v>
      </c>
      <c r="V296" s="87" t="s">
        <v>67</v>
      </c>
      <c r="W296" s="87" t="s">
        <v>68</v>
      </c>
      <c r="X296" s="117" t="s">
        <v>99</v>
      </c>
      <c r="Y296" s="160">
        <v>3422122</v>
      </c>
      <c r="Z296" s="137" t="s">
        <v>1173</v>
      </c>
      <c r="AA296" s="117" t="s">
        <v>353</v>
      </c>
      <c r="AB296" s="117"/>
      <c r="AC296" s="162"/>
      <c r="AD296" s="87"/>
      <c r="AE296" s="87"/>
      <c r="AF296" s="87"/>
      <c r="AG296" s="87"/>
      <c r="AH296" s="87"/>
    </row>
    <row r="297" spans="1:34" s="118" customFormat="1" ht="24.95" customHeight="1" x14ac:dyDescent="0.25">
      <c r="A297" s="285">
        <v>90121603</v>
      </c>
      <c r="B297" s="301" t="s">
        <v>58</v>
      </c>
      <c r="C297" s="301" t="s">
        <v>94</v>
      </c>
      <c r="D297" s="301" t="s">
        <v>94</v>
      </c>
      <c r="E297" s="117" t="s">
        <v>351</v>
      </c>
      <c r="F297" s="117" t="s">
        <v>1183</v>
      </c>
      <c r="G297" s="101"/>
      <c r="H297" s="135"/>
      <c r="I297" s="135"/>
      <c r="J297" s="135"/>
      <c r="K297" s="117"/>
      <c r="L297" s="117" t="s">
        <v>10</v>
      </c>
      <c r="M297" s="77">
        <f>1200000-1093111</f>
        <v>106889</v>
      </c>
      <c r="N297" s="220" t="s">
        <v>877</v>
      </c>
      <c r="O297" s="89" t="s">
        <v>5</v>
      </c>
      <c r="P297" s="512">
        <v>201891000290</v>
      </c>
      <c r="Q297" s="220" t="s">
        <v>949</v>
      </c>
      <c r="R297" s="77">
        <v>1200000</v>
      </c>
      <c r="S297" s="150" t="s">
        <v>67</v>
      </c>
      <c r="T297" s="87" t="s">
        <v>66</v>
      </c>
      <c r="U297" s="32">
        <v>0</v>
      </c>
      <c r="V297" s="87" t="s">
        <v>67</v>
      </c>
      <c r="W297" s="87" t="s">
        <v>68</v>
      </c>
      <c r="X297" s="117" t="s">
        <v>99</v>
      </c>
      <c r="Y297" s="160">
        <v>3422121</v>
      </c>
      <c r="Z297" s="137" t="s">
        <v>1173</v>
      </c>
      <c r="AA297" s="117" t="s">
        <v>353</v>
      </c>
      <c r="AB297" s="117"/>
      <c r="AC297" s="162"/>
      <c r="AD297" s="87"/>
      <c r="AE297" s="87"/>
      <c r="AF297" s="87"/>
      <c r="AG297" s="87"/>
      <c r="AH297" s="87"/>
    </row>
    <row r="298" spans="1:34" s="118" customFormat="1" ht="24.95" customHeight="1" x14ac:dyDescent="0.25">
      <c r="A298" s="285">
        <v>90121603</v>
      </c>
      <c r="B298" s="301" t="s">
        <v>58</v>
      </c>
      <c r="C298" s="301" t="s">
        <v>94</v>
      </c>
      <c r="D298" s="301" t="s">
        <v>94</v>
      </c>
      <c r="E298" s="117" t="s">
        <v>351</v>
      </c>
      <c r="F298" s="117" t="s">
        <v>1184</v>
      </c>
      <c r="G298" s="101">
        <v>6</v>
      </c>
      <c r="H298" s="135"/>
      <c r="I298" s="135"/>
      <c r="J298" s="135"/>
      <c r="K298" s="117" t="s">
        <v>83</v>
      </c>
      <c r="L298" s="117" t="s">
        <v>10</v>
      </c>
      <c r="M298" s="79">
        <v>3200000</v>
      </c>
      <c r="N298" s="220" t="s">
        <v>877</v>
      </c>
      <c r="O298" s="89" t="s">
        <v>5</v>
      </c>
      <c r="P298" s="512">
        <v>201891000290</v>
      </c>
      <c r="Q298" s="220" t="s">
        <v>949</v>
      </c>
      <c r="R298" s="79">
        <v>3200000</v>
      </c>
      <c r="S298" s="150" t="s">
        <v>67</v>
      </c>
      <c r="T298" s="87" t="s">
        <v>66</v>
      </c>
      <c r="U298" s="32">
        <v>0</v>
      </c>
      <c r="V298" s="87" t="s">
        <v>67</v>
      </c>
      <c r="W298" s="87" t="s">
        <v>68</v>
      </c>
      <c r="X298" s="117" t="s">
        <v>99</v>
      </c>
      <c r="Y298" s="160">
        <v>3422121</v>
      </c>
      <c r="Z298" s="137" t="s">
        <v>1173</v>
      </c>
      <c r="AA298" s="117" t="s">
        <v>353</v>
      </c>
      <c r="AB298" s="117"/>
      <c r="AC298" s="162"/>
      <c r="AD298" s="87"/>
      <c r="AE298" s="87"/>
      <c r="AF298" s="87"/>
      <c r="AG298" s="87"/>
      <c r="AH298" s="87"/>
    </row>
    <row r="299" spans="1:34" s="118" customFormat="1" ht="24.95" customHeight="1" x14ac:dyDescent="0.25">
      <c r="A299" s="285">
        <v>78141500</v>
      </c>
      <c r="B299" s="301" t="s">
        <v>58</v>
      </c>
      <c r="C299" s="301" t="s">
        <v>94</v>
      </c>
      <c r="D299" s="301" t="s">
        <v>94</v>
      </c>
      <c r="E299" s="117" t="s">
        <v>351</v>
      </c>
      <c r="F299" s="117" t="s">
        <v>460</v>
      </c>
      <c r="G299" s="101">
        <v>6</v>
      </c>
      <c r="H299" s="135"/>
      <c r="I299" s="135"/>
      <c r="J299" s="135"/>
      <c r="K299" s="117" t="s">
        <v>83</v>
      </c>
      <c r="L299" s="117" t="s">
        <v>10</v>
      </c>
      <c r="M299" s="79">
        <v>800000</v>
      </c>
      <c r="N299" s="220" t="s">
        <v>877</v>
      </c>
      <c r="O299" s="89" t="s">
        <v>5</v>
      </c>
      <c r="P299" s="512">
        <v>201891000290</v>
      </c>
      <c r="Q299" s="220" t="s">
        <v>949</v>
      </c>
      <c r="R299" s="79">
        <v>800000</v>
      </c>
      <c r="S299" s="150" t="s">
        <v>67</v>
      </c>
      <c r="T299" s="87" t="s">
        <v>66</v>
      </c>
      <c r="U299" s="32">
        <v>0</v>
      </c>
      <c r="V299" s="87" t="s">
        <v>67</v>
      </c>
      <c r="W299" s="87" t="s">
        <v>68</v>
      </c>
      <c r="X299" s="117" t="s">
        <v>99</v>
      </c>
      <c r="Y299" s="160">
        <v>3422121</v>
      </c>
      <c r="Z299" s="137" t="s">
        <v>1173</v>
      </c>
      <c r="AA299" s="117" t="s">
        <v>353</v>
      </c>
      <c r="AB299" s="117"/>
      <c r="AC299" s="162"/>
      <c r="AD299" s="87"/>
      <c r="AE299" s="87"/>
      <c r="AF299" s="87"/>
      <c r="AG299" s="87"/>
      <c r="AH299" s="87"/>
    </row>
    <row r="300" spans="1:34" s="118" customFormat="1" ht="24.95" customHeight="1" x14ac:dyDescent="0.25">
      <c r="A300" s="285">
        <v>78141500</v>
      </c>
      <c r="B300" s="301" t="s">
        <v>58</v>
      </c>
      <c r="C300" s="301" t="s">
        <v>94</v>
      </c>
      <c r="D300" s="301" t="s">
        <v>94</v>
      </c>
      <c r="E300" s="117" t="s">
        <v>351</v>
      </c>
      <c r="F300" s="117" t="s">
        <v>461</v>
      </c>
      <c r="G300" s="101">
        <v>6</v>
      </c>
      <c r="H300" s="135"/>
      <c r="I300" s="135"/>
      <c r="J300" s="135"/>
      <c r="K300" s="117" t="s">
        <v>83</v>
      </c>
      <c r="L300" s="117" t="s">
        <v>10</v>
      </c>
      <c r="M300" s="79">
        <v>300000</v>
      </c>
      <c r="N300" s="220" t="s">
        <v>877</v>
      </c>
      <c r="O300" s="89" t="s">
        <v>5</v>
      </c>
      <c r="P300" s="512">
        <v>201891000290</v>
      </c>
      <c r="Q300" s="220" t="s">
        <v>949</v>
      </c>
      <c r="R300" s="79">
        <v>300000</v>
      </c>
      <c r="S300" s="150" t="s">
        <v>67</v>
      </c>
      <c r="T300" s="87" t="s">
        <v>66</v>
      </c>
      <c r="U300" s="32">
        <v>0</v>
      </c>
      <c r="V300" s="87" t="s">
        <v>67</v>
      </c>
      <c r="W300" s="87" t="s">
        <v>68</v>
      </c>
      <c r="X300" s="117" t="s">
        <v>99</v>
      </c>
      <c r="Y300" s="160">
        <v>3422121</v>
      </c>
      <c r="Z300" s="137" t="s">
        <v>1173</v>
      </c>
      <c r="AA300" s="117" t="s">
        <v>353</v>
      </c>
      <c r="AB300" s="117"/>
      <c r="AC300" s="162"/>
      <c r="AD300" s="87"/>
      <c r="AE300" s="87"/>
      <c r="AF300" s="87"/>
      <c r="AG300" s="87"/>
      <c r="AH300" s="87"/>
    </row>
    <row r="301" spans="1:34" s="118" customFormat="1" ht="24.95" customHeight="1" x14ac:dyDescent="0.25">
      <c r="A301" s="285">
        <v>78141500</v>
      </c>
      <c r="B301" s="301" t="s">
        <v>58</v>
      </c>
      <c r="C301" s="301" t="s">
        <v>94</v>
      </c>
      <c r="D301" s="301" t="s">
        <v>94</v>
      </c>
      <c r="E301" s="117" t="s">
        <v>351</v>
      </c>
      <c r="F301" s="117" t="s">
        <v>462</v>
      </c>
      <c r="G301" s="101">
        <v>6</v>
      </c>
      <c r="H301" s="135"/>
      <c r="I301" s="135"/>
      <c r="J301" s="135"/>
      <c r="K301" s="117" t="s">
        <v>83</v>
      </c>
      <c r="L301" s="117" t="s">
        <v>10</v>
      </c>
      <c r="M301" s="79">
        <v>200000</v>
      </c>
      <c r="N301" s="220" t="s">
        <v>856</v>
      </c>
      <c r="O301" s="89" t="s">
        <v>4</v>
      </c>
      <c r="P301" s="512">
        <v>201891000290</v>
      </c>
      <c r="Q301" s="220" t="s">
        <v>949</v>
      </c>
      <c r="R301" s="79">
        <v>200000</v>
      </c>
      <c r="S301" s="150" t="s">
        <v>67</v>
      </c>
      <c r="T301" s="87" t="s">
        <v>66</v>
      </c>
      <c r="U301" s="32">
        <v>0</v>
      </c>
      <c r="V301" s="87" t="s">
        <v>67</v>
      </c>
      <c r="W301" s="87" t="s">
        <v>68</v>
      </c>
      <c r="X301" s="117" t="s">
        <v>99</v>
      </c>
      <c r="Y301" s="160">
        <v>3422121</v>
      </c>
      <c r="Z301" s="137" t="s">
        <v>1173</v>
      </c>
      <c r="AA301" s="117" t="s">
        <v>353</v>
      </c>
      <c r="AB301" s="117"/>
      <c r="AC301" s="162"/>
      <c r="AD301" s="87"/>
      <c r="AE301" s="87"/>
      <c r="AF301" s="87"/>
      <c r="AG301" s="87"/>
      <c r="AH301" s="87"/>
    </row>
    <row r="302" spans="1:34" s="118" customFormat="1" ht="24.95" customHeight="1" x14ac:dyDescent="0.25">
      <c r="A302" s="285">
        <v>60103600</v>
      </c>
      <c r="B302" s="301" t="s">
        <v>58</v>
      </c>
      <c r="C302" s="301" t="s">
        <v>94</v>
      </c>
      <c r="D302" s="301" t="s">
        <v>94</v>
      </c>
      <c r="E302" s="117" t="s">
        <v>1185</v>
      </c>
      <c r="F302" s="139" t="s">
        <v>357</v>
      </c>
      <c r="G302" s="101"/>
      <c r="H302" s="88"/>
      <c r="I302" s="88"/>
      <c r="J302" s="88"/>
      <c r="K302" s="117" t="s">
        <v>83</v>
      </c>
      <c r="L302" s="117" t="s">
        <v>10</v>
      </c>
      <c r="M302" s="79">
        <v>1000000</v>
      </c>
      <c r="N302" s="220" t="s">
        <v>856</v>
      </c>
      <c r="O302" s="89" t="s">
        <v>4</v>
      </c>
      <c r="P302" s="512">
        <v>201891000290</v>
      </c>
      <c r="Q302" s="220" t="s">
        <v>949</v>
      </c>
      <c r="R302" s="79">
        <v>1000000</v>
      </c>
      <c r="S302" s="150" t="s">
        <v>67</v>
      </c>
      <c r="T302" s="87" t="s">
        <v>66</v>
      </c>
      <c r="U302" s="32">
        <v>0</v>
      </c>
      <c r="V302" s="87" t="s">
        <v>67</v>
      </c>
      <c r="W302" s="87" t="s">
        <v>68</v>
      </c>
      <c r="X302" s="117" t="s">
        <v>99</v>
      </c>
      <c r="Y302" s="160">
        <v>3422121</v>
      </c>
      <c r="Z302" s="137" t="s">
        <v>1173</v>
      </c>
      <c r="AA302" s="117" t="s">
        <v>1131</v>
      </c>
      <c r="AB302" s="117"/>
      <c r="AC302" s="162"/>
      <c r="AD302" s="87"/>
      <c r="AE302" s="87"/>
      <c r="AF302" s="87"/>
      <c r="AG302" s="87"/>
      <c r="AH302" s="87"/>
    </row>
    <row r="303" spans="1:34" s="118" customFormat="1" ht="24.95" customHeight="1" x14ac:dyDescent="0.25">
      <c r="A303" s="285">
        <v>80111621</v>
      </c>
      <c r="B303" s="301" t="s">
        <v>58</v>
      </c>
      <c r="C303" s="301" t="s">
        <v>94</v>
      </c>
      <c r="D303" s="301" t="s">
        <v>94</v>
      </c>
      <c r="E303" s="117" t="s">
        <v>358</v>
      </c>
      <c r="F303" s="117" t="s">
        <v>331</v>
      </c>
      <c r="G303" s="101">
        <v>1</v>
      </c>
      <c r="H303" s="135"/>
      <c r="I303" s="135">
        <v>4</v>
      </c>
      <c r="J303" s="135"/>
      <c r="K303" s="117" t="s">
        <v>83</v>
      </c>
      <c r="L303" s="117" t="s">
        <v>3</v>
      </c>
      <c r="M303" s="77">
        <v>4000000</v>
      </c>
      <c r="N303" s="520" t="s">
        <v>856</v>
      </c>
      <c r="O303" s="520" t="s">
        <v>4</v>
      </c>
      <c r="P303" s="77"/>
      <c r="Q303" s="522"/>
      <c r="R303" s="77">
        <v>4000000</v>
      </c>
      <c r="S303" s="150" t="s">
        <v>67</v>
      </c>
      <c r="T303" s="87" t="s">
        <v>66</v>
      </c>
      <c r="U303" s="32">
        <v>0</v>
      </c>
      <c r="V303" s="87" t="s">
        <v>67</v>
      </c>
      <c r="W303" s="87" t="s">
        <v>68</v>
      </c>
      <c r="X303" s="117" t="s">
        <v>99</v>
      </c>
      <c r="Y303" s="160">
        <v>3422121</v>
      </c>
      <c r="Z303" s="137" t="s">
        <v>1173</v>
      </c>
      <c r="AA303" s="117" t="s">
        <v>359</v>
      </c>
      <c r="AB303" s="117"/>
      <c r="AC303" s="162"/>
      <c r="AD303" s="87"/>
      <c r="AE303" s="87"/>
      <c r="AF303" s="87"/>
      <c r="AG303" s="87"/>
      <c r="AH303" s="87"/>
    </row>
    <row r="304" spans="1:34" s="118" customFormat="1" ht="24.95" customHeight="1" x14ac:dyDescent="0.25">
      <c r="A304" s="285">
        <v>80111621</v>
      </c>
      <c r="B304" s="301" t="s">
        <v>58</v>
      </c>
      <c r="C304" s="301" t="s">
        <v>94</v>
      </c>
      <c r="D304" s="301" t="s">
        <v>94</v>
      </c>
      <c r="E304" s="117" t="s">
        <v>358</v>
      </c>
      <c r="F304" s="117" t="s">
        <v>331</v>
      </c>
      <c r="G304" s="101">
        <v>1</v>
      </c>
      <c r="H304" s="135"/>
      <c r="I304" s="135">
        <v>4</v>
      </c>
      <c r="J304" s="135"/>
      <c r="K304" s="117" t="s">
        <v>83</v>
      </c>
      <c r="L304" s="117" t="s">
        <v>3</v>
      </c>
      <c r="M304" s="77">
        <v>4000000</v>
      </c>
      <c r="N304" s="520" t="s">
        <v>856</v>
      </c>
      <c r="O304" s="520" t="s">
        <v>4</v>
      </c>
      <c r="P304" s="77"/>
      <c r="Q304" s="522"/>
      <c r="R304" s="77">
        <v>4000000</v>
      </c>
      <c r="S304" s="150" t="s">
        <v>67</v>
      </c>
      <c r="T304" s="87" t="s">
        <v>66</v>
      </c>
      <c r="U304" s="32">
        <v>0</v>
      </c>
      <c r="V304" s="87" t="s">
        <v>67</v>
      </c>
      <c r="W304" s="87" t="s">
        <v>68</v>
      </c>
      <c r="X304" s="117" t="s">
        <v>99</v>
      </c>
      <c r="Y304" s="160">
        <v>3422121</v>
      </c>
      <c r="Z304" s="137" t="s">
        <v>1173</v>
      </c>
      <c r="AA304" s="117" t="s">
        <v>359</v>
      </c>
      <c r="AB304" s="117"/>
      <c r="AC304" s="162"/>
      <c r="AD304" s="87"/>
      <c r="AE304" s="87"/>
      <c r="AF304" s="87"/>
      <c r="AG304" s="87"/>
      <c r="AH304" s="87"/>
    </row>
    <row r="305" spans="1:34" s="118" customFormat="1" ht="24.95" customHeight="1" x14ac:dyDescent="0.25">
      <c r="A305" s="285">
        <v>80111621</v>
      </c>
      <c r="B305" s="301" t="s">
        <v>58</v>
      </c>
      <c r="C305" s="301" t="s">
        <v>94</v>
      </c>
      <c r="D305" s="301" t="s">
        <v>94</v>
      </c>
      <c r="E305" s="117" t="s">
        <v>360</v>
      </c>
      <c r="F305" s="117" t="s">
        <v>331</v>
      </c>
      <c r="G305" s="101">
        <v>1</v>
      </c>
      <c r="H305" s="135"/>
      <c r="I305" s="135">
        <v>10</v>
      </c>
      <c r="J305" s="135"/>
      <c r="K305" s="117" t="s">
        <v>83</v>
      </c>
      <c r="L305" s="117" t="s">
        <v>3</v>
      </c>
      <c r="M305" s="77">
        <f>30000000-1920000</f>
        <v>28080000</v>
      </c>
      <c r="N305" s="520" t="s">
        <v>856</v>
      </c>
      <c r="O305" s="520" t="s">
        <v>4</v>
      </c>
      <c r="P305" s="77"/>
      <c r="Q305" s="522"/>
      <c r="R305" s="77">
        <v>30000000</v>
      </c>
      <c r="S305" s="150" t="s">
        <v>67</v>
      </c>
      <c r="T305" s="87" t="s">
        <v>66</v>
      </c>
      <c r="U305" s="32">
        <v>0</v>
      </c>
      <c r="V305" s="87" t="s">
        <v>67</v>
      </c>
      <c r="W305" s="87" t="s">
        <v>68</v>
      </c>
      <c r="X305" s="117" t="s">
        <v>99</v>
      </c>
      <c r="Y305" s="160">
        <v>3422121</v>
      </c>
      <c r="Z305" s="137" t="s">
        <v>1173</v>
      </c>
      <c r="AA305" s="117" t="s">
        <v>361</v>
      </c>
      <c r="AB305" s="117"/>
      <c r="AC305" s="162"/>
      <c r="AD305" s="87"/>
      <c r="AE305" s="87"/>
      <c r="AF305" s="87"/>
      <c r="AG305" s="87"/>
      <c r="AH305" s="87"/>
    </row>
    <row r="306" spans="1:34" s="118" customFormat="1" ht="24.95" customHeight="1" x14ac:dyDescent="0.25">
      <c r="A306" s="285">
        <v>60103600</v>
      </c>
      <c r="B306" s="301" t="s">
        <v>58</v>
      </c>
      <c r="C306" s="301" t="s">
        <v>94</v>
      </c>
      <c r="D306" s="301" t="s">
        <v>94</v>
      </c>
      <c r="E306" s="117" t="s">
        <v>362</v>
      </c>
      <c r="F306" s="139" t="s">
        <v>363</v>
      </c>
      <c r="G306" s="101">
        <v>1</v>
      </c>
      <c r="H306" s="135"/>
      <c r="I306" s="135"/>
      <c r="J306" s="135"/>
      <c r="K306" s="117" t="s">
        <v>83</v>
      </c>
      <c r="L306" s="117" t="s">
        <v>10</v>
      </c>
      <c r="M306" s="77">
        <v>1000000</v>
      </c>
      <c r="N306" s="220" t="s">
        <v>856</v>
      </c>
      <c r="O306" s="89" t="s">
        <v>4</v>
      </c>
      <c r="P306" s="512">
        <v>201891000290</v>
      </c>
      <c r="Q306" s="220" t="s">
        <v>949</v>
      </c>
      <c r="R306" s="77">
        <v>1000000</v>
      </c>
      <c r="S306" s="150" t="s">
        <v>67</v>
      </c>
      <c r="T306" s="87" t="s">
        <v>66</v>
      </c>
      <c r="U306" s="32">
        <v>0</v>
      </c>
      <c r="V306" s="87" t="s">
        <v>67</v>
      </c>
      <c r="W306" s="87" t="s">
        <v>68</v>
      </c>
      <c r="X306" s="117" t="s">
        <v>99</v>
      </c>
      <c r="Y306" s="160">
        <v>3422121</v>
      </c>
      <c r="Z306" s="137" t="s">
        <v>1173</v>
      </c>
      <c r="AA306" s="117" t="s">
        <v>249</v>
      </c>
      <c r="AB306" s="117"/>
      <c r="AC306" s="162"/>
      <c r="AD306" s="87"/>
      <c r="AE306" s="87"/>
      <c r="AF306" s="87"/>
      <c r="AG306" s="87"/>
      <c r="AH306" s="87"/>
    </row>
    <row r="307" spans="1:34" s="118" customFormat="1" ht="24.95" customHeight="1" x14ac:dyDescent="0.25">
      <c r="A307" s="285">
        <v>60103600</v>
      </c>
      <c r="B307" s="301" t="s">
        <v>58</v>
      </c>
      <c r="C307" s="301" t="s">
        <v>94</v>
      </c>
      <c r="D307" s="301" t="s">
        <v>94</v>
      </c>
      <c r="E307" s="117" t="s">
        <v>364</v>
      </c>
      <c r="F307" s="139" t="s">
        <v>365</v>
      </c>
      <c r="G307" s="101">
        <v>6</v>
      </c>
      <c r="H307" s="135"/>
      <c r="I307" s="135"/>
      <c r="J307" s="135"/>
      <c r="K307" s="117" t="s">
        <v>83</v>
      </c>
      <c r="L307" s="117" t="s">
        <v>10</v>
      </c>
      <c r="M307" s="77">
        <v>390000</v>
      </c>
      <c r="N307" s="220" t="s">
        <v>877</v>
      </c>
      <c r="O307" s="89" t="s">
        <v>5</v>
      </c>
      <c r="P307" s="512">
        <v>201891000290</v>
      </c>
      <c r="Q307" s="220" t="s">
        <v>949</v>
      </c>
      <c r="R307" s="77">
        <v>390000</v>
      </c>
      <c r="S307" s="150" t="s">
        <v>67</v>
      </c>
      <c r="T307" s="87" t="s">
        <v>66</v>
      </c>
      <c r="U307" s="32">
        <v>0</v>
      </c>
      <c r="V307" s="87" t="s">
        <v>67</v>
      </c>
      <c r="W307" s="87" t="s">
        <v>68</v>
      </c>
      <c r="X307" s="117" t="s">
        <v>99</v>
      </c>
      <c r="Y307" s="160">
        <v>3422121</v>
      </c>
      <c r="Z307" s="137" t="s">
        <v>1173</v>
      </c>
      <c r="AA307" s="117" t="s">
        <v>251</v>
      </c>
      <c r="AB307" s="117"/>
      <c r="AC307" s="162"/>
      <c r="AD307" s="87"/>
      <c r="AE307" s="87"/>
      <c r="AF307" s="87"/>
      <c r="AG307" s="87"/>
      <c r="AH307" s="87"/>
    </row>
    <row r="308" spans="1:34" s="118" customFormat="1" ht="24.95" customHeight="1" x14ac:dyDescent="0.25">
      <c r="A308" s="285">
        <v>80111621</v>
      </c>
      <c r="B308" s="301" t="s">
        <v>58</v>
      </c>
      <c r="C308" s="301" t="s">
        <v>94</v>
      </c>
      <c r="D308" s="301" t="s">
        <v>94</v>
      </c>
      <c r="E308" s="117" t="s">
        <v>376</v>
      </c>
      <c r="F308" s="117" t="s">
        <v>367</v>
      </c>
      <c r="G308" s="101">
        <v>1</v>
      </c>
      <c r="H308" s="135"/>
      <c r="I308" s="135">
        <v>10</v>
      </c>
      <c r="J308" s="135"/>
      <c r="K308" s="117" t="s">
        <v>83</v>
      </c>
      <c r="L308" s="117" t="s">
        <v>3</v>
      </c>
      <c r="M308" s="79">
        <f>35175000-2251200</f>
        <v>32923800</v>
      </c>
      <c r="N308" s="520" t="s">
        <v>856</v>
      </c>
      <c r="O308" s="520" t="s">
        <v>4</v>
      </c>
      <c r="P308" s="79"/>
      <c r="Q308" s="152"/>
      <c r="R308" s="79">
        <v>35175000</v>
      </c>
      <c r="S308" s="150" t="s">
        <v>67</v>
      </c>
      <c r="T308" s="87" t="s">
        <v>66</v>
      </c>
      <c r="U308" s="32">
        <v>0</v>
      </c>
      <c r="V308" s="87" t="s">
        <v>67</v>
      </c>
      <c r="W308" s="87" t="s">
        <v>68</v>
      </c>
      <c r="X308" s="117" t="s">
        <v>99</v>
      </c>
      <c r="Y308" s="160">
        <v>3422121</v>
      </c>
      <c r="Z308" s="137" t="s">
        <v>1173</v>
      </c>
      <c r="AA308" s="117" t="s">
        <v>368</v>
      </c>
      <c r="AB308" s="117"/>
      <c r="AC308" s="162"/>
      <c r="AD308" s="87"/>
      <c r="AE308" s="87"/>
      <c r="AF308" s="87"/>
      <c r="AG308" s="87"/>
      <c r="AH308" s="87"/>
    </row>
    <row r="309" spans="1:34" s="118" customFormat="1" ht="24.95" customHeight="1" x14ac:dyDescent="0.25">
      <c r="A309" s="285">
        <v>80111621</v>
      </c>
      <c r="B309" s="301" t="s">
        <v>58</v>
      </c>
      <c r="C309" s="301" t="s">
        <v>94</v>
      </c>
      <c r="D309" s="301" t="s">
        <v>94</v>
      </c>
      <c r="E309" s="117" t="s">
        <v>376</v>
      </c>
      <c r="F309" s="117" t="s">
        <v>370</v>
      </c>
      <c r="G309" s="101">
        <v>1</v>
      </c>
      <c r="H309" s="135"/>
      <c r="I309" s="135">
        <v>10</v>
      </c>
      <c r="J309" s="135"/>
      <c r="K309" s="117" t="s">
        <v>83</v>
      </c>
      <c r="L309" s="117" t="s">
        <v>3</v>
      </c>
      <c r="M309" s="79">
        <f>20100000-1286400</f>
        <v>18813600</v>
      </c>
      <c r="N309" s="520" t="s">
        <v>856</v>
      </c>
      <c r="O309" s="520" t="s">
        <v>4</v>
      </c>
      <c r="P309" s="79"/>
      <c r="Q309" s="152"/>
      <c r="R309" s="79">
        <v>20100000</v>
      </c>
      <c r="S309" s="150" t="s">
        <v>67</v>
      </c>
      <c r="T309" s="87" t="s">
        <v>66</v>
      </c>
      <c r="U309" s="32">
        <v>0</v>
      </c>
      <c r="V309" s="87" t="s">
        <v>67</v>
      </c>
      <c r="W309" s="87" t="s">
        <v>68</v>
      </c>
      <c r="X309" s="117" t="s">
        <v>99</v>
      </c>
      <c r="Y309" s="160">
        <v>3422121</v>
      </c>
      <c r="Z309" s="137" t="s">
        <v>1173</v>
      </c>
      <c r="AA309" s="117" t="s">
        <v>371</v>
      </c>
      <c r="AB309" s="117"/>
      <c r="AC309" s="162"/>
      <c r="AD309" s="87"/>
      <c r="AE309" s="87"/>
      <c r="AF309" s="87"/>
      <c r="AG309" s="87"/>
      <c r="AH309" s="87"/>
    </row>
    <row r="310" spans="1:34" s="118" customFormat="1" ht="24.95" customHeight="1" x14ac:dyDescent="0.25">
      <c r="A310" s="285">
        <v>80111621</v>
      </c>
      <c r="B310" s="301" t="s">
        <v>58</v>
      </c>
      <c r="C310" s="301" t="s">
        <v>94</v>
      </c>
      <c r="D310" s="301" t="s">
        <v>94</v>
      </c>
      <c r="E310" s="117" t="s">
        <v>376</v>
      </c>
      <c r="F310" s="117" t="s">
        <v>373</v>
      </c>
      <c r="G310" s="101">
        <v>1</v>
      </c>
      <c r="H310" s="135"/>
      <c r="I310" s="135">
        <v>10</v>
      </c>
      <c r="J310" s="135"/>
      <c r="K310" s="117" t="s">
        <v>83</v>
      </c>
      <c r="L310" s="117" t="s">
        <v>3</v>
      </c>
      <c r="M310" s="77">
        <f>30150000-1929600</f>
        <v>28220400</v>
      </c>
      <c r="N310" s="520" t="s">
        <v>856</v>
      </c>
      <c r="O310" s="520" t="s">
        <v>4</v>
      </c>
      <c r="P310" s="77"/>
      <c r="Q310" s="522"/>
      <c r="R310" s="77">
        <v>30150000</v>
      </c>
      <c r="S310" s="150" t="s">
        <v>67</v>
      </c>
      <c r="T310" s="87" t="s">
        <v>66</v>
      </c>
      <c r="U310" s="32">
        <v>0</v>
      </c>
      <c r="V310" s="87" t="s">
        <v>67</v>
      </c>
      <c r="W310" s="87" t="s">
        <v>68</v>
      </c>
      <c r="X310" s="117" t="s">
        <v>99</v>
      </c>
      <c r="Y310" s="160">
        <v>3422121</v>
      </c>
      <c r="Z310" s="137" t="s">
        <v>1173</v>
      </c>
      <c r="AA310" s="117" t="s">
        <v>374</v>
      </c>
      <c r="AB310" s="117"/>
      <c r="AC310" s="162"/>
      <c r="AD310" s="87"/>
      <c r="AE310" s="87"/>
      <c r="AF310" s="87"/>
      <c r="AG310" s="87"/>
      <c r="AH310" s="87"/>
    </row>
    <row r="311" spans="1:34" s="118" customFormat="1" ht="24.95" customHeight="1" x14ac:dyDescent="0.25">
      <c r="A311" s="285">
        <v>80111621</v>
      </c>
      <c r="B311" s="301" t="s">
        <v>58</v>
      </c>
      <c r="C311" s="301" t="s">
        <v>94</v>
      </c>
      <c r="D311" s="301" t="s">
        <v>94</v>
      </c>
      <c r="E311" s="117" t="s">
        <v>376</v>
      </c>
      <c r="F311" s="117" t="s">
        <v>1186</v>
      </c>
      <c r="G311" s="101">
        <v>1</v>
      </c>
      <c r="H311" s="135"/>
      <c r="I311" s="135">
        <v>10</v>
      </c>
      <c r="J311" s="135"/>
      <c r="K311" s="117" t="s">
        <v>83</v>
      </c>
      <c r="L311" s="117" t="s">
        <v>3</v>
      </c>
      <c r="M311" s="79">
        <f>35175000-7011698</f>
        <v>28163302</v>
      </c>
      <c r="N311" s="520" t="s">
        <v>856</v>
      </c>
      <c r="O311" s="520" t="s">
        <v>4</v>
      </c>
      <c r="P311" s="79"/>
      <c r="Q311" s="152"/>
      <c r="R311" s="79">
        <v>35175000</v>
      </c>
      <c r="S311" s="150" t="s">
        <v>67</v>
      </c>
      <c r="T311" s="87" t="s">
        <v>66</v>
      </c>
      <c r="U311" s="32">
        <v>0</v>
      </c>
      <c r="V311" s="87" t="s">
        <v>67</v>
      </c>
      <c r="W311" s="87" t="s">
        <v>68</v>
      </c>
      <c r="X311" s="117" t="s">
        <v>99</v>
      </c>
      <c r="Y311" s="160">
        <v>3422121</v>
      </c>
      <c r="Z311" s="137" t="s">
        <v>1173</v>
      </c>
      <c r="AA311" s="117" t="s">
        <v>146</v>
      </c>
      <c r="AB311" s="117"/>
      <c r="AC311" s="162"/>
      <c r="AD311" s="87"/>
      <c r="AE311" s="87"/>
      <c r="AF311" s="87"/>
      <c r="AG311" s="87"/>
      <c r="AH311" s="87"/>
    </row>
    <row r="312" spans="1:34" s="118" customFormat="1" ht="24.95" customHeight="1" x14ac:dyDescent="0.25">
      <c r="A312" s="285">
        <v>80111621</v>
      </c>
      <c r="B312" s="301" t="s">
        <v>58</v>
      </c>
      <c r="C312" s="301" t="s">
        <v>94</v>
      </c>
      <c r="D312" s="301" t="s">
        <v>94</v>
      </c>
      <c r="E312" s="117" t="s">
        <v>376</v>
      </c>
      <c r="F312" s="117" t="s">
        <v>1187</v>
      </c>
      <c r="G312" s="101">
        <v>1</v>
      </c>
      <c r="H312" s="135"/>
      <c r="I312" s="135">
        <v>10</v>
      </c>
      <c r="J312" s="135"/>
      <c r="K312" s="117" t="s">
        <v>83</v>
      </c>
      <c r="L312" s="117" t="s">
        <v>3</v>
      </c>
      <c r="M312" s="79">
        <f>20100000-1286400</f>
        <v>18813600</v>
      </c>
      <c r="N312" s="520" t="s">
        <v>856</v>
      </c>
      <c r="O312" s="520" t="s">
        <v>4</v>
      </c>
      <c r="P312" s="79"/>
      <c r="Q312" s="152"/>
      <c r="R312" s="79">
        <v>20100000</v>
      </c>
      <c r="S312" s="150" t="s">
        <v>67</v>
      </c>
      <c r="T312" s="87" t="s">
        <v>66</v>
      </c>
      <c r="U312" s="32">
        <v>0</v>
      </c>
      <c r="V312" s="87" t="s">
        <v>67</v>
      </c>
      <c r="W312" s="87" t="s">
        <v>68</v>
      </c>
      <c r="X312" s="117" t="s">
        <v>99</v>
      </c>
      <c r="Y312" s="160">
        <v>3422121</v>
      </c>
      <c r="Z312" s="137" t="s">
        <v>1173</v>
      </c>
      <c r="AA312" s="117" t="s">
        <v>380</v>
      </c>
      <c r="AB312" s="117"/>
      <c r="AC312" s="162"/>
      <c r="AD312" s="87"/>
      <c r="AE312" s="87"/>
      <c r="AF312" s="87"/>
      <c r="AG312" s="87"/>
      <c r="AH312" s="87"/>
    </row>
    <row r="313" spans="1:34" s="118" customFormat="1" ht="24.95" customHeight="1" x14ac:dyDescent="0.25">
      <c r="A313" s="285">
        <v>80111621</v>
      </c>
      <c r="B313" s="301" t="s">
        <v>58</v>
      </c>
      <c r="C313" s="301" t="s">
        <v>94</v>
      </c>
      <c r="D313" s="301" t="s">
        <v>94</v>
      </c>
      <c r="E313" s="117" t="s">
        <v>376</v>
      </c>
      <c r="F313" s="117" t="s">
        <v>381</v>
      </c>
      <c r="G313" s="101">
        <v>1</v>
      </c>
      <c r="H313" s="135"/>
      <c r="I313" s="135">
        <v>10</v>
      </c>
      <c r="J313" s="135"/>
      <c r="K313" s="117" t="s">
        <v>83</v>
      </c>
      <c r="L313" s="117" t="s">
        <v>3</v>
      </c>
      <c r="M313" s="79">
        <f>35175000-2251200</f>
        <v>32923800</v>
      </c>
      <c r="N313" s="520" t="s">
        <v>856</v>
      </c>
      <c r="O313" s="520" t="s">
        <v>4</v>
      </c>
      <c r="P313" s="79"/>
      <c r="Q313" s="152"/>
      <c r="R313" s="79">
        <v>35175000</v>
      </c>
      <c r="S313" s="150" t="s">
        <v>67</v>
      </c>
      <c r="T313" s="87" t="s">
        <v>66</v>
      </c>
      <c r="U313" s="32">
        <v>0</v>
      </c>
      <c r="V313" s="87" t="s">
        <v>67</v>
      </c>
      <c r="W313" s="87" t="s">
        <v>68</v>
      </c>
      <c r="X313" s="117" t="s">
        <v>99</v>
      </c>
      <c r="Y313" s="160">
        <v>3422121</v>
      </c>
      <c r="Z313" s="137" t="s">
        <v>1173</v>
      </c>
      <c r="AA313" s="117" t="s">
        <v>382</v>
      </c>
      <c r="AB313" s="117"/>
      <c r="AC313" s="162"/>
      <c r="AD313" s="87"/>
      <c r="AE313" s="87"/>
      <c r="AF313" s="87"/>
      <c r="AG313" s="87"/>
      <c r="AH313" s="87"/>
    </row>
    <row r="314" spans="1:34" s="118" customFormat="1" ht="24.95" customHeight="1" x14ac:dyDescent="0.25">
      <c r="A314" s="285">
        <v>80111621</v>
      </c>
      <c r="B314" s="301" t="s">
        <v>58</v>
      </c>
      <c r="C314" s="301" t="s">
        <v>94</v>
      </c>
      <c r="D314" s="301" t="s">
        <v>94</v>
      </c>
      <c r="E314" s="117" t="s">
        <v>376</v>
      </c>
      <c r="F314" s="117" t="s">
        <v>383</v>
      </c>
      <c r="G314" s="101">
        <v>1</v>
      </c>
      <c r="H314" s="135"/>
      <c r="I314" s="135">
        <v>10</v>
      </c>
      <c r="J314" s="135"/>
      <c r="K314" s="117" t="s">
        <v>83</v>
      </c>
      <c r="L314" s="117" t="s">
        <v>3</v>
      </c>
      <c r="M314" s="79">
        <f>20100000-845351</f>
        <v>19254649</v>
      </c>
      <c r="N314" s="520" t="s">
        <v>856</v>
      </c>
      <c r="O314" s="520" t="s">
        <v>4</v>
      </c>
      <c r="P314" s="79"/>
      <c r="Q314" s="152"/>
      <c r="R314" s="79">
        <v>20100000</v>
      </c>
      <c r="S314" s="150" t="s">
        <v>67</v>
      </c>
      <c r="T314" s="87" t="s">
        <v>66</v>
      </c>
      <c r="U314" s="32">
        <v>0</v>
      </c>
      <c r="V314" s="87" t="s">
        <v>67</v>
      </c>
      <c r="W314" s="87" t="s">
        <v>68</v>
      </c>
      <c r="X314" s="117" t="s">
        <v>99</v>
      </c>
      <c r="Y314" s="160">
        <v>3422121</v>
      </c>
      <c r="Z314" s="137" t="s">
        <v>1173</v>
      </c>
      <c r="AA314" s="117" t="s">
        <v>1188</v>
      </c>
      <c r="AB314" s="117"/>
      <c r="AC314" s="162"/>
      <c r="AD314" s="87"/>
      <c r="AE314" s="87"/>
      <c r="AF314" s="87"/>
      <c r="AG314" s="87"/>
      <c r="AH314" s="87"/>
    </row>
    <row r="315" spans="1:34" s="118" customFormat="1" ht="24.95" customHeight="1" x14ac:dyDescent="0.25">
      <c r="A315" s="285">
        <v>80111621</v>
      </c>
      <c r="B315" s="301" t="s">
        <v>58</v>
      </c>
      <c r="C315" s="301" t="s">
        <v>94</v>
      </c>
      <c r="D315" s="301" t="s">
        <v>94</v>
      </c>
      <c r="E315" s="117" t="s">
        <v>376</v>
      </c>
      <c r="F315" s="117" t="s">
        <v>384</v>
      </c>
      <c r="G315" s="101">
        <v>1</v>
      </c>
      <c r="H315" s="135"/>
      <c r="I315" s="135">
        <v>10</v>
      </c>
      <c r="J315" s="135"/>
      <c r="K315" s="117" t="s">
        <v>83</v>
      </c>
      <c r="L315" s="117" t="s">
        <v>3</v>
      </c>
      <c r="M315" s="79">
        <f>20100000-845351</f>
        <v>19254649</v>
      </c>
      <c r="N315" s="520" t="s">
        <v>856</v>
      </c>
      <c r="O315" s="520" t="s">
        <v>4</v>
      </c>
      <c r="P315" s="79"/>
      <c r="Q315" s="152"/>
      <c r="R315" s="79">
        <v>20100000</v>
      </c>
      <c r="S315" s="150" t="s">
        <v>67</v>
      </c>
      <c r="T315" s="87" t="s">
        <v>66</v>
      </c>
      <c r="U315" s="32">
        <v>0</v>
      </c>
      <c r="V315" s="87" t="s">
        <v>67</v>
      </c>
      <c r="W315" s="87" t="s">
        <v>68</v>
      </c>
      <c r="X315" s="117" t="s">
        <v>99</v>
      </c>
      <c r="Y315" s="160">
        <v>3422121</v>
      </c>
      <c r="Z315" s="137" t="s">
        <v>1173</v>
      </c>
      <c r="AA315" s="117" t="s">
        <v>1189</v>
      </c>
      <c r="AB315" s="117"/>
      <c r="AC315" s="162"/>
      <c r="AD315" s="87"/>
      <c r="AE315" s="87"/>
      <c r="AF315" s="87"/>
      <c r="AG315" s="87"/>
      <c r="AH315" s="87"/>
    </row>
    <row r="316" spans="1:34" s="118" customFormat="1" ht="24.95" customHeight="1" x14ac:dyDescent="0.25">
      <c r="A316" s="285">
        <v>80111621</v>
      </c>
      <c r="B316" s="301" t="s">
        <v>58</v>
      </c>
      <c r="C316" s="301" t="s">
        <v>94</v>
      </c>
      <c r="D316" s="301" t="s">
        <v>94</v>
      </c>
      <c r="E316" s="117" t="s">
        <v>376</v>
      </c>
      <c r="F316" s="117" t="s">
        <v>385</v>
      </c>
      <c r="G316" s="101">
        <v>1</v>
      </c>
      <c r="H316" s="135"/>
      <c r="I316" s="135">
        <v>10</v>
      </c>
      <c r="J316" s="135"/>
      <c r="K316" s="117" t="s">
        <v>83</v>
      </c>
      <c r="L316" s="117" t="s">
        <v>3</v>
      </c>
      <c r="M316" s="79">
        <f>16833750-1077360</f>
        <v>15756390</v>
      </c>
      <c r="N316" s="520" t="s">
        <v>856</v>
      </c>
      <c r="O316" s="520" t="s">
        <v>4</v>
      </c>
      <c r="P316" s="79"/>
      <c r="Q316" s="152"/>
      <c r="R316" s="79">
        <v>16833750</v>
      </c>
      <c r="S316" s="150" t="s">
        <v>67</v>
      </c>
      <c r="T316" s="87" t="s">
        <v>66</v>
      </c>
      <c r="U316" s="32">
        <v>0</v>
      </c>
      <c r="V316" s="87" t="s">
        <v>67</v>
      </c>
      <c r="W316" s="87" t="s">
        <v>68</v>
      </c>
      <c r="X316" s="117" t="s">
        <v>99</v>
      </c>
      <c r="Y316" s="160">
        <v>3422121</v>
      </c>
      <c r="Z316" s="137" t="s">
        <v>1173</v>
      </c>
      <c r="AA316" s="117" t="s">
        <v>1190</v>
      </c>
      <c r="AB316" s="117"/>
      <c r="AC316" s="162"/>
      <c r="AD316" s="87"/>
      <c r="AE316" s="87"/>
      <c r="AF316" s="87"/>
      <c r="AG316" s="87"/>
      <c r="AH316" s="87"/>
    </row>
    <row r="317" spans="1:34" s="118" customFormat="1" ht="24.95" customHeight="1" x14ac:dyDescent="0.25">
      <c r="A317" s="285">
        <v>80111621</v>
      </c>
      <c r="B317" s="301" t="s">
        <v>58</v>
      </c>
      <c r="C317" s="301" t="s">
        <v>94</v>
      </c>
      <c r="D317" s="301" t="s">
        <v>94</v>
      </c>
      <c r="E317" s="117" t="s">
        <v>386</v>
      </c>
      <c r="F317" s="117" t="s">
        <v>331</v>
      </c>
      <c r="G317" s="101">
        <v>1</v>
      </c>
      <c r="H317" s="135"/>
      <c r="I317" s="135">
        <v>10</v>
      </c>
      <c r="J317" s="135"/>
      <c r="K317" s="117" t="s">
        <v>83</v>
      </c>
      <c r="L317" s="117" t="s">
        <v>3</v>
      </c>
      <c r="M317" s="77">
        <f>30900000-1977600</f>
        <v>28922400</v>
      </c>
      <c r="N317" s="520" t="s">
        <v>856</v>
      </c>
      <c r="O317" s="520" t="s">
        <v>4</v>
      </c>
      <c r="P317" s="77"/>
      <c r="Q317" s="522"/>
      <c r="R317" s="77">
        <v>30900000</v>
      </c>
      <c r="S317" s="150" t="s">
        <v>67</v>
      </c>
      <c r="T317" s="87" t="s">
        <v>66</v>
      </c>
      <c r="U317" s="32">
        <v>0</v>
      </c>
      <c r="V317" s="87" t="s">
        <v>67</v>
      </c>
      <c r="W317" s="87" t="s">
        <v>68</v>
      </c>
      <c r="X317" s="117" t="s">
        <v>99</v>
      </c>
      <c r="Y317" s="160">
        <v>3422121</v>
      </c>
      <c r="Z317" s="137" t="s">
        <v>1173</v>
      </c>
      <c r="AA317" s="117" t="s">
        <v>387</v>
      </c>
      <c r="AB317" s="117"/>
      <c r="AC317" s="162"/>
      <c r="AD317" s="87"/>
      <c r="AE317" s="87"/>
      <c r="AF317" s="87"/>
      <c r="AG317" s="87"/>
      <c r="AH317" s="87"/>
    </row>
    <row r="318" spans="1:34" s="118" customFormat="1" ht="24.95" customHeight="1" x14ac:dyDescent="0.25">
      <c r="A318" s="285">
        <v>60103600</v>
      </c>
      <c r="B318" s="301" t="s">
        <v>58</v>
      </c>
      <c r="C318" s="301" t="s">
        <v>94</v>
      </c>
      <c r="D318" s="301" t="s">
        <v>94</v>
      </c>
      <c r="E318" s="117" t="s">
        <v>388</v>
      </c>
      <c r="F318" s="117" t="s">
        <v>389</v>
      </c>
      <c r="G318" s="101">
        <v>1</v>
      </c>
      <c r="H318" s="135"/>
      <c r="I318" s="135"/>
      <c r="J318" s="135"/>
      <c r="K318" s="117" t="s">
        <v>83</v>
      </c>
      <c r="L318" s="117" t="s">
        <v>10</v>
      </c>
      <c r="M318" s="79">
        <v>3816000</v>
      </c>
      <c r="N318" s="220" t="s">
        <v>877</v>
      </c>
      <c r="O318" s="89" t="s">
        <v>5</v>
      </c>
      <c r="P318" s="512">
        <v>201891000290</v>
      </c>
      <c r="Q318" s="220" t="s">
        <v>949</v>
      </c>
      <c r="R318" s="79">
        <v>3816000</v>
      </c>
      <c r="S318" s="150" t="s">
        <v>67</v>
      </c>
      <c r="T318" s="87" t="s">
        <v>66</v>
      </c>
      <c r="U318" s="32">
        <v>0</v>
      </c>
      <c r="V318" s="87" t="s">
        <v>67</v>
      </c>
      <c r="W318" s="87" t="s">
        <v>68</v>
      </c>
      <c r="X318" s="117" t="s">
        <v>99</v>
      </c>
      <c r="Y318" s="160">
        <v>3422121</v>
      </c>
      <c r="Z318" s="137" t="s">
        <v>1173</v>
      </c>
      <c r="AA318" s="117" t="s">
        <v>242</v>
      </c>
      <c r="AB318" s="117"/>
      <c r="AC318" s="162"/>
      <c r="AD318" s="87"/>
      <c r="AE318" s="87"/>
      <c r="AF318" s="87"/>
      <c r="AG318" s="87"/>
      <c r="AH318" s="87"/>
    </row>
    <row r="319" spans="1:34" s="118" customFormat="1" ht="24.95" customHeight="1" x14ac:dyDescent="0.25">
      <c r="A319" s="285">
        <v>80111621</v>
      </c>
      <c r="B319" s="301" t="s">
        <v>58</v>
      </c>
      <c r="C319" s="301" t="s">
        <v>94</v>
      </c>
      <c r="D319" s="301" t="s">
        <v>94</v>
      </c>
      <c r="E319" s="117" t="s">
        <v>390</v>
      </c>
      <c r="F319" s="117" t="s">
        <v>1191</v>
      </c>
      <c r="G319" s="101">
        <v>6</v>
      </c>
      <c r="H319" s="135"/>
      <c r="I319" s="135"/>
      <c r="J319" s="135"/>
      <c r="K319" s="117" t="s">
        <v>83</v>
      </c>
      <c r="L319" s="117" t="s">
        <v>3</v>
      </c>
      <c r="M319" s="80">
        <v>1800000</v>
      </c>
      <c r="N319" s="520" t="s">
        <v>856</v>
      </c>
      <c r="O319" s="520" t="s">
        <v>4</v>
      </c>
      <c r="P319" s="80"/>
      <c r="Q319" s="527"/>
      <c r="R319" s="80">
        <v>1800000</v>
      </c>
      <c r="S319" s="150" t="s">
        <v>67</v>
      </c>
      <c r="T319" s="87" t="s">
        <v>66</v>
      </c>
      <c r="U319" s="32">
        <v>0</v>
      </c>
      <c r="V319" s="87" t="s">
        <v>67</v>
      </c>
      <c r="W319" s="87" t="s">
        <v>68</v>
      </c>
      <c r="X319" s="117" t="s">
        <v>99</v>
      </c>
      <c r="Y319" s="160">
        <v>3422121</v>
      </c>
      <c r="Z319" s="137" t="s">
        <v>1173</v>
      </c>
      <c r="AA319" s="117" t="s">
        <v>256</v>
      </c>
      <c r="AB319" s="117"/>
      <c r="AC319" s="162"/>
      <c r="AD319" s="87"/>
      <c r="AE319" s="87"/>
      <c r="AF319" s="87"/>
      <c r="AG319" s="87"/>
      <c r="AH319" s="87"/>
    </row>
    <row r="320" spans="1:34" s="118" customFormat="1" ht="24.95" customHeight="1" x14ac:dyDescent="0.25">
      <c r="A320" s="285">
        <v>60103600</v>
      </c>
      <c r="B320" s="301" t="s">
        <v>58</v>
      </c>
      <c r="C320" s="301" t="s">
        <v>94</v>
      </c>
      <c r="D320" s="301" t="s">
        <v>94</v>
      </c>
      <c r="E320" s="117" t="s">
        <v>390</v>
      </c>
      <c r="F320" s="139" t="s">
        <v>1192</v>
      </c>
      <c r="G320" s="101">
        <v>3</v>
      </c>
      <c r="H320" s="135"/>
      <c r="I320" s="135"/>
      <c r="J320" s="135"/>
      <c r="K320" s="117" t="s">
        <v>83</v>
      </c>
      <c r="L320" s="117" t="s">
        <v>10</v>
      </c>
      <c r="M320" s="77">
        <v>960000</v>
      </c>
      <c r="N320" s="220" t="s">
        <v>877</v>
      </c>
      <c r="O320" s="89" t="s">
        <v>5</v>
      </c>
      <c r="P320" s="512">
        <v>201891000290</v>
      </c>
      <c r="Q320" s="220" t="s">
        <v>949</v>
      </c>
      <c r="R320" s="77">
        <v>960000</v>
      </c>
      <c r="S320" s="150" t="s">
        <v>67</v>
      </c>
      <c r="T320" s="87" t="s">
        <v>66</v>
      </c>
      <c r="U320" s="32">
        <v>0</v>
      </c>
      <c r="V320" s="87" t="s">
        <v>67</v>
      </c>
      <c r="W320" s="87" t="s">
        <v>68</v>
      </c>
      <c r="X320" s="117" t="s">
        <v>99</v>
      </c>
      <c r="Y320" s="160">
        <v>3422121</v>
      </c>
      <c r="Z320" s="137" t="s">
        <v>1173</v>
      </c>
      <c r="AA320" s="117" t="s">
        <v>256</v>
      </c>
      <c r="AB320" s="117"/>
      <c r="AC320" s="162"/>
      <c r="AD320" s="87"/>
      <c r="AE320" s="87"/>
      <c r="AF320" s="87"/>
      <c r="AG320" s="87"/>
      <c r="AH320" s="87"/>
    </row>
    <row r="321" spans="1:34" s="142" customFormat="1" ht="24.95" customHeight="1" x14ac:dyDescent="0.25">
      <c r="A321" s="289">
        <v>78111506</v>
      </c>
      <c r="B321" s="311" t="s">
        <v>58</v>
      </c>
      <c r="C321" s="315" t="s">
        <v>94</v>
      </c>
      <c r="D321" s="311" t="s">
        <v>94</v>
      </c>
      <c r="E321" s="265" t="s">
        <v>1193</v>
      </c>
      <c r="F321" s="265" t="s">
        <v>1194</v>
      </c>
      <c r="G321" s="227">
        <v>10</v>
      </c>
      <c r="H321" s="266"/>
      <c r="I321" s="266"/>
      <c r="J321" s="266"/>
      <c r="K321" s="265" t="s">
        <v>83</v>
      </c>
      <c r="L321" s="115" t="s">
        <v>67</v>
      </c>
      <c r="M321" s="267">
        <f>5000000-5000000</f>
        <v>0</v>
      </c>
      <c r="N321" s="220" t="s">
        <v>877</v>
      </c>
      <c r="O321" s="94" t="s">
        <v>5</v>
      </c>
      <c r="P321" s="512">
        <v>201891000290</v>
      </c>
      <c r="Q321" s="220" t="s">
        <v>949</v>
      </c>
      <c r="R321" s="267">
        <v>5000000</v>
      </c>
      <c r="S321" s="268" t="s">
        <v>67</v>
      </c>
      <c r="T321" s="222" t="s">
        <v>66</v>
      </c>
      <c r="U321" s="224">
        <v>0</v>
      </c>
      <c r="V321" s="222" t="s">
        <v>67</v>
      </c>
      <c r="W321" s="222" t="s">
        <v>68</v>
      </c>
      <c r="X321" s="265" t="s">
        <v>99</v>
      </c>
      <c r="Y321" s="269">
        <v>3422121</v>
      </c>
      <c r="Z321" s="270" t="s">
        <v>1173</v>
      </c>
      <c r="AA321" s="265" t="s">
        <v>1195</v>
      </c>
      <c r="AB321" s="71"/>
      <c r="AC321" s="166"/>
      <c r="AD321" s="91"/>
      <c r="AE321" s="91"/>
      <c r="AF321" s="91"/>
      <c r="AG321" s="91"/>
      <c r="AH321" s="91"/>
    </row>
    <row r="322" spans="1:34" s="142" customFormat="1" ht="24.95" customHeight="1" x14ac:dyDescent="0.25">
      <c r="A322" s="290">
        <v>90121603</v>
      </c>
      <c r="B322" s="312" t="s">
        <v>58</v>
      </c>
      <c r="C322" s="315" t="s">
        <v>94</v>
      </c>
      <c r="D322" s="312" t="s">
        <v>94</v>
      </c>
      <c r="E322" s="201" t="s">
        <v>1193</v>
      </c>
      <c r="F322" s="201" t="s">
        <v>1196</v>
      </c>
      <c r="G322" s="332">
        <v>10</v>
      </c>
      <c r="H322" s="202"/>
      <c r="I322" s="202"/>
      <c r="J322" s="202"/>
      <c r="K322" s="201" t="s">
        <v>83</v>
      </c>
      <c r="L322" s="115" t="s">
        <v>67</v>
      </c>
      <c r="M322" s="203">
        <f>3000000-3000000</f>
        <v>0</v>
      </c>
      <c r="N322" s="220" t="s">
        <v>877</v>
      </c>
      <c r="O322" s="94" t="s">
        <v>5</v>
      </c>
      <c r="P322" s="512">
        <v>201891000290</v>
      </c>
      <c r="Q322" s="220" t="s">
        <v>949</v>
      </c>
      <c r="R322" s="203">
        <v>3000000</v>
      </c>
      <c r="S322" s="204" t="s">
        <v>67</v>
      </c>
      <c r="T322" s="205" t="s">
        <v>66</v>
      </c>
      <c r="U322" s="206">
        <v>0</v>
      </c>
      <c r="V322" s="205" t="s">
        <v>67</v>
      </c>
      <c r="W322" s="205" t="s">
        <v>68</v>
      </c>
      <c r="X322" s="201" t="s">
        <v>99</v>
      </c>
      <c r="Y322" s="207">
        <v>3422121</v>
      </c>
      <c r="Z322" s="208" t="s">
        <v>1173</v>
      </c>
      <c r="AA322" s="201" t="s">
        <v>1195</v>
      </c>
      <c r="AB322" s="71"/>
      <c r="AC322" s="166"/>
      <c r="AD322" s="91"/>
      <c r="AE322" s="91"/>
      <c r="AF322" s="91"/>
      <c r="AG322" s="91"/>
      <c r="AH322" s="91"/>
    </row>
    <row r="323" spans="1:34" s="118" customFormat="1" ht="24.95" customHeight="1" x14ac:dyDescent="0.25">
      <c r="A323" s="285">
        <v>80111621</v>
      </c>
      <c r="B323" s="301" t="s">
        <v>58</v>
      </c>
      <c r="C323" s="301" t="s">
        <v>94</v>
      </c>
      <c r="D323" s="301" t="s">
        <v>94</v>
      </c>
      <c r="E323" s="117" t="s">
        <v>393</v>
      </c>
      <c r="F323" s="117" t="s">
        <v>331</v>
      </c>
      <c r="G323" s="101">
        <v>1</v>
      </c>
      <c r="H323" s="135"/>
      <c r="I323" s="135">
        <v>10</v>
      </c>
      <c r="J323" s="135"/>
      <c r="K323" s="117" t="s">
        <v>83</v>
      </c>
      <c r="L323" s="117" t="s">
        <v>3</v>
      </c>
      <c r="M323" s="77">
        <v>12000000</v>
      </c>
      <c r="N323" s="520" t="s">
        <v>856</v>
      </c>
      <c r="O323" s="520" t="s">
        <v>4</v>
      </c>
      <c r="P323" s="77"/>
      <c r="Q323" s="522"/>
      <c r="R323" s="77">
        <v>12000000</v>
      </c>
      <c r="S323" s="150" t="s">
        <v>67</v>
      </c>
      <c r="T323" s="87" t="s">
        <v>66</v>
      </c>
      <c r="U323" s="32">
        <v>0</v>
      </c>
      <c r="V323" s="87" t="s">
        <v>67</v>
      </c>
      <c r="W323" s="87" t="s">
        <v>68</v>
      </c>
      <c r="X323" s="117" t="s">
        <v>99</v>
      </c>
      <c r="Y323" s="160">
        <v>3422121</v>
      </c>
      <c r="Z323" s="137" t="s">
        <v>1173</v>
      </c>
      <c r="AA323" s="117" t="s">
        <v>394</v>
      </c>
      <c r="AB323" s="117"/>
      <c r="AC323" s="162"/>
      <c r="AD323" s="87"/>
      <c r="AE323" s="87"/>
      <c r="AF323" s="87"/>
      <c r="AG323" s="87"/>
      <c r="AH323" s="87"/>
    </row>
    <row r="324" spans="1:34" s="118" customFormat="1" ht="24.95" customHeight="1" x14ac:dyDescent="0.25">
      <c r="A324" s="285">
        <v>80111621</v>
      </c>
      <c r="B324" s="301" t="s">
        <v>58</v>
      </c>
      <c r="C324" s="301" t="s">
        <v>94</v>
      </c>
      <c r="D324" s="301" t="s">
        <v>94</v>
      </c>
      <c r="E324" s="117" t="s">
        <v>393</v>
      </c>
      <c r="F324" s="117" t="s">
        <v>331</v>
      </c>
      <c r="G324" s="101">
        <v>1</v>
      </c>
      <c r="H324" s="135"/>
      <c r="I324" s="135">
        <v>10</v>
      </c>
      <c r="J324" s="135"/>
      <c r="K324" s="117" t="s">
        <v>83</v>
      </c>
      <c r="L324" s="117" t="s">
        <v>3</v>
      </c>
      <c r="M324" s="77">
        <v>12000000</v>
      </c>
      <c r="N324" s="520" t="s">
        <v>856</v>
      </c>
      <c r="O324" s="520" t="s">
        <v>4</v>
      </c>
      <c r="P324" s="77"/>
      <c r="Q324" s="522"/>
      <c r="R324" s="77">
        <v>12000000</v>
      </c>
      <c r="S324" s="150" t="s">
        <v>67</v>
      </c>
      <c r="T324" s="87" t="s">
        <v>66</v>
      </c>
      <c r="U324" s="32">
        <v>0</v>
      </c>
      <c r="V324" s="87" t="s">
        <v>67</v>
      </c>
      <c r="W324" s="87" t="s">
        <v>68</v>
      </c>
      <c r="X324" s="117" t="s">
        <v>99</v>
      </c>
      <c r="Y324" s="160">
        <v>3422121</v>
      </c>
      <c r="Z324" s="137" t="s">
        <v>1173</v>
      </c>
      <c r="AA324" s="117" t="s">
        <v>395</v>
      </c>
      <c r="AB324" s="117"/>
      <c r="AC324" s="162"/>
      <c r="AD324" s="87"/>
      <c r="AE324" s="87"/>
      <c r="AF324" s="87"/>
      <c r="AG324" s="87"/>
      <c r="AH324" s="87"/>
    </row>
    <row r="325" spans="1:34" s="122" customFormat="1" ht="24.95" customHeight="1" x14ac:dyDescent="0.25">
      <c r="A325" s="287">
        <v>90121603</v>
      </c>
      <c r="B325" s="309" t="s">
        <v>58</v>
      </c>
      <c r="C325" s="309" t="s">
        <v>94</v>
      </c>
      <c r="D325" s="309" t="s">
        <v>94</v>
      </c>
      <c r="E325" s="260" t="s">
        <v>393</v>
      </c>
      <c r="F325" s="260" t="s">
        <v>1197</v>
      </c>
      <c r="G325" s="330">
        <v>6</v>
      </c>
      <c r="H325" s="263"/>
      <c r="I325" s="263"/>
      <c r="J325" s="263"/>
      <c r="K325" s="260" t="s">
        <v>83</v>
      </c>
      <c r="L325" s="115" t="s">
        <v>67</v>
      </c>
      <c r="M325" s="271">
        <f>2000000-2000000</f>
        <v>0</v>
      </c>
      <c r="N325" s="271"/>
      <c r="O325" s="271"/>
      <c r="P325" s="271"/>
      <c r="Q325" s="528"/>
      <c r="R325" s="271">
        <v>2000000</v>
      </c>
      <c r="S325" s="272" t="s">
        <v>67</v>
      </c>
      <c r="T325" s="261" t="s">
        <v>66</v>
      </c>
      <c r="U325" s="273">
        <v>0</v>
      </c>
      <c r="V325" s="261" t="s">
        <v>67</v>
      </c>
      <c r="W325" s="261" t="s">
        <v>68</v>
      </c>
      <c r="X325" s="260" t="s">
        <v>99</v>
      </c>
      <c r="Y325" s="274">
        <v>3422121</v>
      </c>
      <c r="Z325" s="275" t="s">
        <v>1173</v>
      </c>
      <c r="AA325" s="260" t="s">
        <v>961</v>
      </c>
      <c r="AB325" s="70"/>
      <c r="AC325" s="164"/>
      <c r="AD325" s="69"/>
      <c r="AE325" s="69"/>
      <c r="AF325" s="69"/>
      <c r="AG325" s="69"/>
      <c r="AH325" s="69"/>
    </row>
    <row r="326" spans="1:34" s="122" customFormat="1" ht="24.95" customHeight="1" x14ac:dyDescent="0.25">
      <c r="A326" s="161"/>
      <c r="B326" s="144" t="s">
        <v>58</v>
      </c>
      <c r="C326" s="144" t="s">
        <v>94</v>
      </c>
      <c r="D326" s="144" t="s">
        <v>94</v>
      </c>
      <c r="E326" s="70" t="s">
        <v>393</v>
      </c>
      <c r="F326" s="70" t="s">
        <v>1198</v>
      </c>
      <c r="G326" s="128">
        <v>6</v>
      </c>
      <c r="H326" s="85"/>
      <c r="I326" s="85"/>
      <c r="J326" s="85"/>
      <c r="K326" s="70" t="s">
        <v>83</v>
      </c>
      <c r="L326" s="115" t="s">
        <v>67</v>
      </c>
      <c r="M326" s="74">
        <f>2000000-2000000</f>
        <v>0</v>
      </c>
      <c r="N326" s="74"/>
      <c r="O326" s="74"/>
      <c r="P326" s="74"/>
      <c r="Q326" s="529"/>
      <c r="R326" s="74">
        <v>2000000</v>
      </c>
      <c r="S326" s="151" t="s">
        <v>67</v>
      </c>
      <c r="T326" s="69" t="s">
        <v>66</v>
      </c>
      <c r="U326" s="119">
        <v>0</v>
      </c>
      <c r="V326" s="69" t="s">
        <v>67</v>
      </c>
      <c r="W326" s="69" t="s">
        <v>68</v>
      </c>
      <c r="X326" s="70" t="s">
        <v>99</v>
      </c>
      <c r="Y326" s="161">
        <v>3422121</v>
      </c>
      <c r="Z326" s="141" t="s">
        <v>1173</v>
      </c>
      <c r="AA326" s="70" t="s">
        <v>961</v>
      </c>
      <c r="AB326" s="70"/>
      <c r="AC326" s="164"/>
      <c r="AD326" s="69"/>
      <c r="AE326" s="69"/>
      <c r="AF326" s="69"/>
      <c r="AG326" s="69"/>
      <c r="AH326" s="69"/>
    </row>
    <row r="327" spans="1:34" s="122" customFormat="1" ht="24.95" customHeight="1" x14ac:dyDescent="0.25">
      <c r="A327" s="288">
        <v>80111621</v>
      </c>
      <c r="B327" s="310" t="s">
        <v>58</v>
      </c>
      <c r="C327" s="310" t="s">
        <v>94</v>
      </c>
      <c r="D327" s="310" t="s">
        <v>94</v>
      </c>
      <c r="E327" s="196" t="s">
        <v>1199</v>
      </c>
      <c r="F327" s="196" t="s">
        <v>337</v>
      </c>
      <c r="G327" s="331">
        <v>1</v>
      </c>
      <c r="H327" s="199"/>
      <c r="I327" s="199">
        <v>10</v>
      </c>
      <c r="J327" s="199"/>
      <c r="K327" s="196" t="s">
        <v>83</v>
      </c>
      <c r="L327" s="115" t="s">
        <v>67</v>
      </c>
      <c r="M327" s="209">
        <f>50000000-50000000</f>
        <v>0</v>
      </c>
      <c r="N327" s="209"/>
      <c r="O327" s="209"/>
      <c r="P327" s="209"/>
      <c r="Q327" s="530"/>
      <c r="R327" s="209">
        <v>50000000</v>
      </c>
      <c r="S327" s="210" t="s">
        <v>67</v>
      </c>
      <c r="T327" s="197" t="s">
        <v>66</v>
      </c>
      <c r="U327" s="211">
        <v>0</v>
      </c>
      <c r="V327" s="197" t="s">
        <v>67</v>
      </c>
      <c r="W327" s="197" t="s">
        <v>68</v>
      </c>
      <c r="X327" s="196" t="s">
        <v>99</v>
      </c>
      <c r="Y327" s="212">
        <v>3422121</v>
      </c>
      <c r="Z327" s="213" t="s">
        <v>1173</v>
      </c>
      <c r="AA327" s="196" t="s">
        <v>1200</v>
      </c>
      <c r="AB327" s="70"/>
      <c r="AC327" s="164"/>
      <c r="AD327" s="69"/>
      <c r="AE327" s="69"/>
      <c r="AF327" s="69"/>
      <c r="AG327" s="69"/>
      <c r="AH327" s="69"/>
    </row>
    <row r="328" spans="1:34" s="118" customFormat="1" ht="24.95" customHeight="1" x14ac:dyDescent="0.25">
      <c r="A328" s="285">
        <v>90121603</v>
      </c>
      <c r="B328" s="301" t="s">
        <v>58</v>
      </c>
      <c r="C328" s="301" t="s">
        <v>94</v>
      </c>
      <c r="D328" s="301" t="s">
        <v>94</v>
      </c>
      <c r="E328" s="117" t="s">
        <v>455</v>
      </c>
      <c r="F328" s="117" t="s">
        <v>1201</v>
      </c>
      <c r="G328" s="101">
        <v>4</v>
      </c>
      <c r="H328" s="135"/>
      <c r="I328" s="135"/>
      <c r="J328" s="135"/>
      <c r="K328" s="117" t="s">
        <v>83</v>
      </c>
      <c r="L328" s="117" t="s">
        <v>3</v>
      </c>
      <c r="M328" s="77">
        <f>800000-193044</f>
        <v>606956</v>
      </c>
      <c r="N328" s="220" t="s">
        <v>877</v>
      </c>
      <c r="O328" s="89" t="s">
        <v>5</v>
      </c>
      <c r="P328" s="512">
        <v>201891000290</v>
      </c>
      <c r="Q328" s="220" t="s">
        <v>949</v>
      </c>
      <c r="R328" s="77">
        <v>800000</v>
      </c>
      <c r="S328" s="152" t="s">
        <v>67</v>
      </c>
      <c r="T328" s="87" t="s">
        <v>66</v>
      </c>
      <c r="U328" s="32">
        <v>0</v>
      </c>
      <c r="V328" s="87" t="s">
        <v>67</v>
      </c>
      <c r="W328" s="87" t="s">
        <v>68</v>
      </c>
      <c r="X328" s="117" t="s">
        <v>99</v>
      </c>
      <c r="Y328" s="160">
        <v>3422121</v>
      </c>
      <c r="Z328" s="137" t="s">
        <v>1173</v>
      </c>
      <c r="AA328" s="117" t="s">
        <v>247</v>
      </c>
      <c r="AB328" s="117"/>
      <c r="AC328" s="162"/>
      <c r="AD328" s="87"/>
      <c r="AE328" s="87"/>
      <c r="AF328" s="87"/>
      <c r="AG328" s="87"/>
      <c r="AH328" s="87"/>
    </row>
    <row r="329" spans="1:34" s="118" customFormat="1" ht="24.95" customHeight="1" x14ac:dyDescent="0.25">
      <c r="A329" s="285">
        <v>90121603</v>
      </c>
      <c r="B329" s="301" t="s">
        <v>58</v>
      </c>
      <c r="C329" s="301" t="s">
        <v>94</v>
      </c>
      <c r="D329" s="301" t="s">
        <v>94</v>
      </c>
      <c r="E329" s="117" t="s">
        <v>455</v>
      </c>
      <c r="F329" s="117" t="s">
        <v>1201</v>
      </c>
      <c r="G329" s="101"/>
      <c r="H329" s="135"/>
      <c r="I329" s="135"/>
      <c r="J329" s="135"/>
      <c r="K329" s="117"/>
      <c r="L329" s="117" t="s">
        <v>10</v>
      </c>
      <c r="M329" s="77">
        <v>193044</v>
      </c>
      <c r="N329" s="220" t="s">
        <v>877</v>
      </c>
      <c r="O329" s="89" t="s">
        <v>5</v>
      </c>
      <c r="P329" s="512">
        <v>201891000290</v>
      </c>
      <c r="Q329" s="220" t="s">
        <v>949</v>
      </c>
      <c r="R329" s="77"/>
      <c r="S329" s="152" t="s">
        <v>67</v>
      </c>
      <c r="T329" s="87" t="s">
        <v>66</v>
      </c>
      <c r="U329" s="32">
        <v>0</v>
      </c>
      <c r="V329" s="87" t="s">
        <v>67</v>
      </c>
      <c r="W329" s="87" t="s">
        <v>68</v>
      </c>
      <c r="X329" s="117" t="s">
        <v>99</v>
      </c>
      <c r="Y329" s="160">
        <v>3422121</v>
      </c>
      <c r="Z329" s="137" t="s">
        <v>1173</v>
      </c>
      <c r="AA329" s="117" t="s">
        <v>247</v>
      </c>
      <c r="AB329" s="117"/>
      <c r="AC329" s="162"/>
      <c r="AD329" s="87"/>
      <c r="AE329" s="87"/>
      <c r="AF329" s="87"/>
      <c r="AG329" s="87"/>
      <c r="AH329" s="87"/>
    </row>
    <row r="330" spans="1:34" s="118" customFormat="1" ht="24.95" customHeight="1" x14ac:dyDescent="0.25">
      <c r="A330" s="285">
        <v>78141500</v>
      </c>
      <c r="B330" s="301" t="s">
        <v>58</v>
      </c>
      <c r="C330" s="301" t="s">
        <v>94</v>
      </c>
      <c r="D330" s="301" t="s">
        <v>94</v>
      </c>
      <c r="E330" s="117" t="s">
        <v>455</v>
      </c>
      <c r="F330" s="117" t="s">
        <v>463</v>
      </c>
      <c r="G330" s="101">
        <v>4</v>
      </c>
      <c r="H330" s="135"/>
      <c r="I330" s="135"/>
      <c r="J330" s="135"/>
      <c r="K330" s="117" t="s">
        <v>83</v>
      </c>
      <c r="L330" s="117" t="s">
        <v>10</v>
      </c>
      <c r="M330" s="77">
        <v>800000</v>
      </c>
      <c r="N330" s="220" t="s">
        <v>877</v>
      </c>
      <c r="O330" s="89" t="s">
        <v>5</v>
      </c>
      <c r="P330" s="512">
        <v>201891000290</v>
      </c>
      <c r="Q330" s="220" t="s">
        <v>949</v>
      </c>
      <c r="R330" s="77">
        <v>800000</v>
      </c>
      <c r="S330" s="152" t="s">
        <v>67</v>
      </c>
      <c r="T330" s="87" t="s">
        <v>66</v>
      </c>
      <c r="U330" s="32">
        <v>0</v>
      </c>
      <c r="V330" s="87" t="s">
        <v>67</v>
      </c>
      <c r="W330" s="87" t="s">
        <v>68</v>
      </c>
      <c r="X330" s="117" t="s">
        <v>99</v>
      </c>
      <c r="Y330" s="160">
        <v>3422121</v>
      </c>
      <c r="Z330" s="137" t="s">
        <v>1173</v>
      </c>
      <c r="AA330" s="117" t="s">
        <v>247</v>
      </c>
      <c r="AB330" s="117"/>
      <c r="AC330" s="162"/>
      <c r="AD330" s="87"/>
      <c r="AE330" s="87"/>
      <c r="AF330" s="87"/>
      <c r="AG330" s="87"/>
      <c r="AH330" s="87"/>
    </row>
    <row r="331" spans="1:34" s="118" customFormat="1" ht="24.95" customHeight="1" x14ac:dyDescent="0.25">
      <c r="A331" s="285">
        <v>80111621</v>
      </c>
      <c r="B331" s="301" t="s">
        <v>58</v>
      </c>
      <c r="C331" s="301" t="s">
        <v>94</v>
      </c>
      <c r="D331" s="301" t="s">
        <v>94</v>
      </c>
      <c r="E331" s="117" t="s">
        <v>95</v>
      </c>
      <c r="F331" s="117" t="s">
        <v>396</v>
      </c>
      <c r="G331" s="101">
        <v>1</v>
      </c>
      <c r="H331" s="135"/>
      <c r="I331" s="135">
        <v>10</v>
      </c>
      <c r="J331" s="135"/>
      <c r="K331" s="117" t="s">
        <v>83</v>
      </c>
      <c r="L331" s="117" t="s">
        <v>3</v>
      </c>
      <c r="M331" s="140">
        <f>35175000-2251200</f>
        <v>32923800</v>
      </c>
      <c r="N331" s="520" t="s">
        <v>856</v>
      </c>
      <c r="O331" s="520" t="s">
        <v>4</v>
      </c>
      <c r="P331" s="140"/>
      <c r="Q331" s="531"/>
      <c r="R331" s="81">
        <v>35175000</v>
      </c>
      <c r="S331" s="150" t="s">
        <v>67</v>
      </c>
      <c r="T331" s="87" t="s">
        <v>66</v>
      </c>
      <c r="U331" s="32">
        <v>0</v>
      </c>
      <c r="V331" s="87" t="s">
        <v>67</v>
      </c>
      <c r="W331" s="87" t="s">
        <v>68</v>
      </c>
      <c r="X331" s="117" t="s">
        <v>99</v>
      </c>
      <c r="Y331" s="160">
        <v>3422121</v>
      </c>
      <c r="Z331" s="137" t="s">
        <v>1173</v>
      </c>
      <c r="AA331" s="117" t="s">
        <v>397</v>
      </c>
      <c r="AB331" s="117"/>
      <c r="AC331" s="162"/>
      <c r="AD331" s="87"/>
      <c r="AE331" s="87"/>
      <c r="AF331" s="87"/>
      <c r="AG331" s="87"/>
      <c r="AH331" s="87"/>
    </row>
    <row r="332" spans="1:34" s="118" customFormat="1" ht="24.95" customHeight="1" x14ac:dyDescent="0.25">
      <c r="A332" s="285">
        <v>80111621</v>
      </c>
      <c r="B332" s="301" t="s">
        <v>58</v>
      </c>
      <c r="C332" s="301" t="s">
        <v>94</v>
      </c>
      <c r="D332" s="301" t="s">
        <v>94</v>
      </c>
      <c r="E332" s="117" t="s">
        <v>95</v>
      </c>
      <c r="F332" s="117" t="s">
        <v>398</v>
      </c>
      <c r="G332" s="101">
        <v>1</v>
      </c>
      <c r="H332" s="135"/>
      <c r="I332" s="135">
        <v>10</v>
      </c>
      <c r="J332" s="135"/>
      <c r="K332" s="117" t="s">
        <v>83</v>
      </c>
      <c r="L332" s="117" t="s">
        <v>3</v>
      </c>
      <c r="M332" s="140">
        <f>25000000-1600000</f>
        <v>23400000</v>
      </c>
      <c r="N332" s="520" t="s">
        <v>856</v>
      </c>
      <c r="O332" s="520" t="s">
        <v>4</v>
      </c>
      <c r="P332" s="140"/>
      <c r="Q332" s="531"/>
      <c r="R332" s="81">
        <v>25000000</v>
      </c>
      <c r="S332" s="150" t="s">
        <v>67</v>
      </c>
      <c r="T332" s="87" t="s">
        <v>66</v>
      </c>
      <c r="U332" s="32">
        <v>0</v>
      </c>
      <c r="V332" s="87" t="s">
        <v>67</v>
      </c>
      <c r="W332" s="87" t="s">
        <v>68</v>
      </c>
      <c r="X332" s="117" t="s">
        <v>99</v>
      </c>
      <c r="Y332" s="160">
        <v>3422121</v>
      </c>
      <c r="Z332" s="137" t="s">
        <v>1173</v>
      </c>
      <c r="AA332" s="117" t="s">
        <v>1202</v>
      </c>
      <c r="AB332" s="117"/>
      <c r="AC332" s="162"/>
      <c r="AD332" s="87"/>
      <c r="AE332" s="87"/>
      <c r="AF332" s="87"/>
      <c r="AG332" s="87"/>
      <c r="AH332" s="87"/>
    </row>
    <row r="333" spans="1:34" s="118" customFormat="1" ht="24.95" customHeight="1" x14ac:dyDescent="0.25">
      <c r="A333" s="285">
        <v>80111621</v>
      </c>
      <c r="B333" s="301" t="s">
        <v>58</v>
      </c>
      <c r="C333" s="301" t="s">
        <v>94</v>
      </c>
      <c r="D333" s="301" t="s">
        <v>94</v>
      </c>
      <c r="E333" s="117" t="s">
        <v>95</v>
      </c>
      <c r="F333" s="117" t="s">
        <v>96</v>
      </c>
      <c r="G333" s="101">
        <v>5</v>
      </c>
      <c r="H333" s="135"/>
      <c r="I333" s="135">
        <v>6</v>
      </c>
      <c r="J333" s="135"/>
      <c r="K333" s="117" t="s">
        <v>83</v>
      </c>
      <c r="L333" s="117" t="s">
        <v>3</v>
      </c>
      <c r="M333" s="140">
        <f>10450000-668800</f>
        <v>9781200</v>
      </c>
      <c r="N333" s="520" t="s">
        <v>856</v>
      </c>
      <c r="O333" s="520" t="s">
        <v>4</v>
      </c>
      <c r="P333" s="140"/>
      <c r="Q333" s="531"/>
      <c r="R333" s="81">
        <f>10450000-668800</f>
        <v>9781200</v>
      </c>
      <c r="S333" s="150" t="s">
        <v>63</v>
      </c>
      <c r="T333" s="87" t="s">
        <v>66</v>
      </c>
      <c r="U333" s="32">
        <v>0</v>
      </c>
      <c r="V333" s="87" t="s">
        <v>67</v>
      </c>
      <c r="W333" s="87" t="s">
        <v>68</v>
      </c>
      <c r="X333" s="117" t="s">
        <v>99</v>
      </c>
      <c r="Y333" s="160">
        <v>3422121</v>
      </c>
      <c r="Z333" s="137" t="s">
        <v>1173</v>
      </c>
      <c r="AA333" s="117" t="s">
        <v>101</v>
      </c>
      <c r="AB333"/>
      <c r="AC333"/>
      <c r="AD333"/>
      <c r="AE333" s="87"/>
      <c r="AF333" s="87"/>
      <c r="AG333" s="87"/>
      <c r="AH333" s="87"/>
    </row>
  </sheetData>
  <dataValidations count="11">
    <dataValidation type="list" allowBlank="1" showInputMessage="1" showErrorMessage="1" sqref="H192:H212" xr:uid="{B9776272-D25F-A547-AECE-1B224DB011C9}">
      <formula1>INDIRECT(G192)</formula1>
    </dataValidation>
    <dataValidation type="list" allowBlank="1" showInputMessage="1" showErrorMessage="1" sqref="I75:I87" xr:uid="{D515B6BA-DE12-8541-8303-041D708B53FA}">
      <formula1>INDIRECT(#REF!)</formula1>
    </dataValidation>
    <dataValidation type="list" allowBlank="1" showInputMessage="1" showErrorMessage="1" sqref="AF168:AF173 L172:L176 AC166:AC167 AC160:AC164 L290:L320 AD162:AD164 AF160:AF164 AD160 AE160:AE161 AD166:AE173 L3:L21 L156:L159 L178:L185 L187:L189 L194:L199 L201:L209 L214:L220 L223:L225 L233:L241 L328:L333 L63:L71 L121:L133 L97:L119 L56:L61 L136:L153 L88:L95 L276:L283 L285:L287 L243:L244 L323:L324 L250:L269" xr:uid="{CCB462B1-C45D-8147-AED6-630819D2AFD6}">
      <formula1>FUENTE_DE_LOS_RECURSOS</formula1>
    </dataValidation>
    <dataValidation type="list" allowBlank="1" showInputMessage="1" showErrorMessage="1" sqref="K250:K333 K3:K53 K56:K159" xr:uid="{F0E5EAF5-1A9D-5B4E-9C4A-6C7CC29B2833}">
      <formula1>MODALIDAD_DE_CONTRATACIÓN</formula1>
    </dataValidation>
    <dataValidation type="list" allowBlank="1" showInputMessage="1" showErrorMessage="1" sqref="W3:W246 W248:W333" xr:uid="{CD2FA1A0-6343-C043-A6D7-02EEEA6DF979}">
      <formula1>GC</formula1>
    </dataValidation>
    <dataValidation type="list" allowBlank="1" showInputMessage="1" showErrorMessage="1" sqref="V3:V9 V248:V249 V271:V333 V54:V246" xr:uid="{81D742D6-4C01-5140-A3EF-427907536150}">
      <formula1>VF</formula1>
    </dataValidation>
    <dataValidation type="list" allowBlank="1" showInputMessage="1" showErrorMessage="1" sqref="T3:T246 T248:T333" xr:uid="{0B693E1C-E6AE-DD4C-B6A7-C20E7B8E93C4}">
      <formula1>SINO</formula1>
    </dataValidation>
    <dataValidation type="list" allowBlank="1" showInputMessage="1" showErrorMessage="1" sqref="D107:D159 D225 D3:D80 D276:D333 D250:D272" xr:uid="{8CD1261F-6F6F-A844-B42F-51A9C4C6A8A7}">
      <formula1>PROCESOS</formula1>
    </dataValidation>
    <dataValidation type="list" allowBlank="1" showInputMessage="1" showErrorMessage="1" sqref="B3:B159 C55 C81:C87 B276:B333 B250:C275" xr:uid="{8807A249-8E90-E54A-A7A4-A57BF900C379}">
      <formula1>SUBDIRECCIÓN</formula1>
    </dataValidation>
    <dataValidation type="list" allowBlank="1" showInputMessage="1" showErrorMessage="1" sqref="J75:J87 J158:J159 J271:J272 J303:J333 J276:J301" xr:uid="{CEE0D449-5943-274F-8311-887ED0E8663E}">
      <formula1>(DÍAS)</formula1>
    </dataValidation>
    <dataValidation type="list" allowBlank="1" showInputMessage="1" showErrorMessage="1" sqref="I263:I272 I303:I333 I259:I260 I254 I252 I276:I301" xr:uid="{7693A635-78EA-D44C-9316-957336902DB0}">
      <formula1>INDIRECT(G252)</formula1>
    </dataValidation>
  </dataValidations>
  <hyperlinks>
    <hyperlink ref="Z55" r:id="rId1" xr:uid="{D5551448-2A76-094D-A04E-4034CD214FD4}"/>
    <hyperlink ref="Z54" r:id="rId2" xr:uid="{15A4F5CD-1A22-D545-9455-11328D09128D}"/>
    <hyperlink ref="Z158" r:id="rId3" xr:uid="{CB8E47D4-B183-F747-9B92-5D584C23EABA}"/>
    <hyperlink ref="Z159" r:id="rId4" xr:uid="{B5A357A4-2AB0-4849-8369-F00F05A823E1}"/>
    <hyperlink ref="Z186" r:id="rId5" xr:uid="{80B60A88-7A36-FB49-9759-E29ECB7E9DA7}"/>
    <hyperlink ref="Z198:Z202" r:id="rId6" display="ofelia.ros@caroycuervo.gov.co" xr:uid="{1C5F1FB0-7986-6744-96B0-F76D144483F6}"/>
    <hyperlink ref="Z204" r:id="rId7" xr:uid="{F385D877-6FB1-7046-B23F-9B22173F0F2C}"/>
    <hyperlink ref="Z213" r:id="rId8" xr:uid="{825F63B6-5E1F-C746-AC7D-4B70C8822DD5}"/>
    <hyperlink ref="Z136" r:id="rId9" xr:uid="{DB53CA37-03CD-264D-A27F-6AEA11D78239}"/>
    <hyperlink ref="Z137" r:id="rId10" xr:uid="{CA6086B6-6A84-2D41-9C3E-3352F7AE69D3}"/>
    <hyperlink ref="Z138" r:id="rId11" xr:uid="{B1EE51B4-626F-1C4D-8905-E1AEE449B33D}"/>
    <hyperlink ref="Z139" r:id="rId12" xr:uid="{30C094FE-0601-B844-A81F-0896A26A97B9}"/>
    <hyperlink ref="Z140" r:id="rId13" xr:uid="{13FA95E1-F13A-B642-93EB-4CCBAF6D957F}"/>
    <hyperlink ref="Z141" r:id="rId14" xr:uid="{90FE7893-2B6C-5140-A4D2-D2501A0CF27C}"/>
    <hyperlink ref="Z142" r:id="rId15" xr:uid="{11D0CCA1-8728-EA42-AE93-4A5B17F9E1B7}"/>
    <hyperlink ref="Z143" r:id="rId16" xr:uid="{3C7715BB-D665-2D41-B098-C7669F9AF189}"/>
    <hyperlink ref="Z144" r:id="rId17" xr:uid="{62BDF90B-4D0B-7645-A674-4159A4E6FF7F}"/>
    <hyperlink ref="Z145" r:id="rId18" xr:uid="{B4493AB9-2122-C849-ABD5-7AA8C19559FF}"/>
    <hyperlink ref="Z146" r:id="rId19" xr:uid="{3E9D2193-BDB8-9A4C-B51B-AEB987BE8EBF}"/>
    <hyperlink ref="Z147" r:id="rId20" xr:uid="{480AD30E-8B17-8043-82ED-963E05F6226B}"/>
    <hyperlink ref="Z148" r:id="rId21" xr:uid="{5A4E0025-03D0-D943-AA52-2E36443E44C0}"/>
    <hyperlink ref="Z149" r:id="rId22" xr:uid="{08C31524-1E10-3B45-BD40-8FD6D8C69768}"/>
    <hyperlink ref="Z150" r:id="rId23" xr:uid="{FF839BB4-9A5B-1A4C-8CA4-60DD9DA06D86}"/>
    <hyperlink ref="Z151" r:id="rId24" xr:uid="{223A7767-BA0E-5341-9ADF-1D7C29869B59}"/>
    <hyperlink ref="Z152" r:id="rId25" xr:uid="{2F1A63DF-6782-A544-B280-81FB6E170BAB}"/>
    <hyperlink ref="Z153" r:id="rId26" xr:uid="{0D9AD399-E5DD-F342-B603-281B8C30440E}"/>
    <hyperlink ref="Z154" r:id="rId27" xr:uid="{4BC2F65A-A974-0C4A-B81E-E559DC555524}"/>
    <hyperlink ref="Z155" r:id="rId28" xr:uid="{810A4D95-5DD1-8440-9587-29CBA80933C3}"/>
    <hyperlink ref="Z156" r:id="rId29" xr:uid="{49EAB87A-AF16-5144-AD1E-203458692D84}"/>
    <hyperlink ref="Z157" r:id="rId30" xr:uid="{D19F2D97-7109-394F-AA7F-88D970C9EEA4}"/>
    <hyperlink ref="Y108:Y118" r:id="rId31" display="cesa.buitrago@caroycuervo.gov.co" xr:uid="{62C1A6AA-91F4-DF40-A171-5B2F3F7F9536}"/>
    <hyperlink ref="Y119" r:id="rId32" display="cesa.buitrago@caroycuervo.gov.co" xr:uid="{EE945583-54CB-F944-90AA-6C55DEEABA66}"/>
    <hyperlink ref="Y120" r:id="rId33" display="cesa.buitrago@caroycuervo.gov.co" xr:uid="{27897E4F-E5C8-034B-AD5E-823009BE26BE}"/>
    <hyperlink ref="Z56" r:id="rId34" xr:uid="{397606E6-55BA-4841-8A75-42AAEAA66FCB}"/>
    <hyperlink ref="Z121" r:id="rId35" xr:uid="{DA540446-BE42-CF4D-A8BE-A870727040B1}"/>
    <hyperlink ref="Z106" r:id="rId36" xr:uid="{9C73204D-ECF8-CC4B-B74D-8E41C91B0993}"/>
    <hyperlink ref="Z105" r:id="rId37" xr:uid="{4A8DF188-C429-5A4A-BE60-F34E96223C27}"/>
    <hyperlink ref="Z89:Z103" r:id="rId38" display="juan.espinosa@caroycuervo.gov.co " xr:uid="{BCB0EEAF-FFBC-C64C-97BD-420F708759B3}"/>
    <hyperlink ref="Z88" r:id="rId39" xr:uid="{42AEAE93-8648-B446-85E9-CA8FDED7F00E}"/>
    <hyperlink ref="Y107" r:id="rId40" display="cesa.buitrago@caroycuervo.gov.co" xr:uid="{E83630F2-74F4-0E46-80BA-4883F21672BB}"/>
    <hyperlink ref="Z250" r:id="rId41" xr:uid="{7BCE3A14-B0CB-DB4D-9E3B-5742BDC15233}"/>
    <hyperlink ref="Z251:Z263" r:id="rId42" display="heilin.guarnizo@caroycuervo.gov.co" xr:uid="{993AE9CC-32FA-A54E-BF4F-34B563873143}"/>
    <hyperlink ref="Z264" r:id="rId43" xr:uid="{1D7F34AA-779E-774F-BE55-E7FA773277AE}"/>
    <hyperlink ref="Z265" r:id="rId44" xr:uid="{8C8B364C-125D-D24B-BC8B-6C1F4AF532A8}"/>
    <hyperlink ref="Z266" r:id="rId45" xr:uid="{21D4D18F-9498-1945-8779-C28085E221CC}"/>
    <hyperlink ref="Z261" r:id="rId46" xr:uid="{23C2F61C-81C7-A541-9A27-B39B8C4F6885}"/>
    <hyperlink ref="Z267" r:id="rId47" xr:uid="{DB2B225D-268D-9847-811D-6637FBABA205}"/>
    <hyperlink ref="Z268" r:id="rId48" xr:uid="{785988B8-E23F-C24A-A44E-8695049ED910}"/>
    <hyperlink ref="Z269" r:id="rId49" xr:uid="{39015264-8953-4D43-AAF0-DB35FE34AB7C}"/>
    <hyperlink ref="Z270" r:id="rId50" xr:uid="{7AAE09D5-7CFE-FF48-8811-782C6F4D36AF}"/>
    <hyperlink ref="Z104" r:id="rId51" xr:uid="{54B036DA-F7B7-DE49-80D4-FF9275EA8808}"/>
    <hyperlink ref="Z57" r:id="rId52" xr:uid="{23E8A9CF-21D2-1946-9840-A79BA68EC0E7}"/>
    <hyperlink ref="Z93" r:id="rId53" xr:uid="{E52F9EFA-AD48-FE4F-83B7-C4C022570412}"/>
    <hyperlink ref="Z262" r:id="rId54" xr:uid="{C1EB07B0-8257-394A-98B3-691A84E71E6A}"/>
    <hyperlink ref="Z258" r:id="rId55" xr:uid="{FF501932-BFBD-4D4C-9711-1F9E2751EAFE}"/>
  </hyperlinks>
  <pageMargins left="0.7" right="0.7" top="0.75" bottom="0.75" header="0.3" footer="0.3"/>
  <drawing r:id="rId56"/>
  <legacyDrawing r:id="rId5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workbookViewId="0">
      <selection activeCell="C11" sqref="C11"/>
    </sheetView>
  </sheetViews>
  <sheetFormatPr baseColWidth="10" defaultColWidth="9.140625" defaultRowHeight="15" x14ac:dyDescent="0.25"/>
  <cols>
    <col min="1" max="1" width="11.42578125" customWidth="1"/>
    <col min="2" max="2" width="18" customWidth="1"/>
    <col min="3" max="256" width="11.42578125" customWidth="1"/>
  </cols>
  <sheetData>
    <row r="1" spans="1:21" s="9" customFormat="1" ht="89.1" customHeight="1" x14ac:dyDescent="0.2">
      <c r="A1" s="5" t="s">
        <v>22</v>
      </c>
      <c r="B1" s="6" t="s">
        <v>1203</v>
      </c>
      <c r="C1" s="7" t="s">
        <v>1204</v>
      </c>
      <c r="D1" s="6" t="s">
        <v>1205</v>
      </c>
      <c r="E1" s="6" t="s">
        <v>1206</v>
      </c>
      <c r="F1" s="6" t="s">
        <v>1207</v>
      </c>
      <c r="G1" s="6" t="s">
        <v>1208</v>
      </c>
      <c r="H1" s="6" t="s">
        <v>1209</v>
      </c>
      <c r="I1" s="6" t="s">
        <v>1210</v>
      </c>
      <c r="J1" s="6" t="s">
        <v>1211</v>
      </c>
      <c r="K1" s="6" t="s">
        <v>1212</v>
      </c>
      <c r="L1" s="8" t="s">
        <v>1213</v>
      </c>
      <c r="M1" s="8" t="s">
        <v>1214</v>
      </c>
      <c r="N1" s="6" t="s">
        <v>1215</v>
      </c>
      <c r="O1" s="6" t="s">
        <v>1216</v>
      </c>
      <c r="P1" s="6" t="s">
        <v>1217</v>
      </c>
      <c r="Q1" s="6" t="s">
        <v>1218</v>
      </c>
      <c r="R1" s="6" t="s">
        <v>1219</v>
      </c>
      <c r="S1" s="6" t="s">
        <v>1220</v>
      </c>
      <c r="T1" s="6" t="s">
        <v>1221</v>
      </c>
      <c r="U1" s="6" t="s">
        <v>1222</v>
      </c>
    </row>
    <row r="2" spans="1:21" x14ac:dyDescent="0.25">
      <c r="B2" t="s">
        <v>270</v>
      </c>
      <c r="C2" t="s">
        <v>203</v>
      </c>
      <c r="F2" t="s">
        <v>491</v>
      </c>
      <c r="G2" t="s">
        <v>491</v>
      </c>
      <c r="I2">
        <v>5</v>
      </c>
      <c r="J2" s="11" t="s">
        <v>1223</v>
      </c>
      <c r="K2" s="11" t="s">
        <v>10</v>
      </c>
      <c r="N2" t="s">
        <v>210</v>
      </c>
      <c r="P2" t="s">
        <v>67</v>
      </c>
      <c r="Q2" t="s">
        <v>68</v>
      </c>
    </row>
    <row r="3" spans="1:21" x14ac:dyDescent="0.25">
      <c r="B3" t="s">
        <v>58</v>
      </c>
      <c r="C3" t="s">
        <v>1224</v>
      </c>
      <c r="F3" t="s">
        <v>590</v>
      </c>
      <c r="G3" t="s">
        <v>590</v>
      </c>
      <c r="I3">
        <v>10</v>
      </c>
      <c r="J3" s="11" t="s">
        <v>1225</v>
      </c>
      <c r="K3" s="11" t="s">
        <v>3</v>
      </c>
      <c r="N3" t="s">
        <v>66</v>
      </c>
      <c r="P3" t="s">
        <v>1226</v>
      </c>
    </row>
    <row r="4" spans="1:21" x14ac:dyDescent="0.25">
      <c r="B4" t="s">
        <v>471</v>
      </c>
      <c r="C4" t="s">
        <v>473</v>
      </c>
      <c r="F4" t="s">
        <v>567</v>
      </c>
      <c r="G4" t="s">
        <v>567</v>
      </c>
      <c r="I4">
        <v>15</v>
      </c>
      <c r="J4" s="11" t="s">
        <v>83</v>
      </c>
      <c r="P4" t="s">
        <v>1227</v>
      </c>
    </row>
    <row r="5" spans="1:21" x14ac:dyDescent="0.25">
      <c r="C5" t="s">
        <v>60</v>
      </c>
      <c r="F5" t="s">
        <v>736</v>
      </c>
      <c r="G5" t="s">
        <v>736</v>
      </c>
      <c r="I5">
        <v>20</v>
      </c>
      <c r="J5" s="11" t="s">
        <v>200</v>
      </c>
      <c r="P5" t="s">
        <v>211</v>
      </c>
    </row>
    <row r="6" spans="1:21" x14ac:dyDescent="0.25">
      <c r="C6" t="s">
        <v>94</v>
      </c>
      <c r="F6" t="s">
        <v>578</v>
      </c>
      <c r="G6" t="s">
        <v>578</v>
      </c>
      <c r="I6">
        <v>25</v>
      </c>
      <c r="J6" s="11" t="s">
        <v>627</v>
      </c>
    </row>
    <row r="7" spans="1:21" x14ac:dyDescent="0.25">
      <c r="C7" t="s">
        <v>171</v>
      </c>
      <c r="F7" t="s">
        <v>563</v>
      </c>
      <c r="G7" t="s">
        <v>563</v>
      </c>
      <c r="J7" s="11" t="s">
        <v>154</v>
      </c>
    </row>
    <row r="8" spans="1:21" x14ac:dyDescent="0.25">
      <c r="C8" t="s">
        <v>1228</v>
      </c>
      <c r="F8" t="s">
        <v>581</v>
      </c>
      <c r="G8" t="s">
        <v>581</v>
      </c>
      <c r="J8" s="11" t="s">
        <v>312</v>
      </c>
    </row>
    <row r="9" spans="1:21" x14ac:dyDescent="0.25">
      <c r="C9" t="s">
        <v>288</v>
      </c>
      <c r="F9" t="s">
        <v>570</v>
      </c>
      <c r="G9" t="s">
        <v>570</v>
      </c>
      <c r="J9" s="11" t="s">
        <v>151</v>
      </c>
    </row>
    <row r="10" spans="1:21" x14ac:dyDescent="0.25">
      <c r="C10" t="s">
        <v>68</v>
      </c>
      <c r="F10" t="s">
        <v>663</v>
      </c>
      <c r="G10" t="s">
        <v>663</v>
      </c>
      <c r="J10" s="11" t="s">
        <v>318</v>
      </c>
    </row>
    <row r="11" spans="1:21" x14ac:dyDescent="0.25">
      <c r="C11" t="s">
        <v>281</v>
      </c>
      <c r="F11" t="s">
        <v>572</v>
      </c>
      <c r="G11" t="s">
        <v>572</v>
      </c>
    </row>
    <row r="12" spans="1:21" x14ac:dyDescent="0.25">
      <c r="C12" t="s">
        <v>554</v>
      </c>
      <c r="F12" t="s">
        <v>674</v>
      </c>
      <c r="G12" t="s">
        <v>674</v>
      </c>
    </row>
    <row r="13" spans="1:21" x14ac:dyDescent="0.25">
      <c r="C13" t="s">
        <v>1229</v>
      </c>
      <c r="F13" t="s">
        <v>689</v>
      </c>
      <c r="G13" t="s">
        <v>689</v>
      </c>
    </row>
    <row r="22" spans="2:13" x14ac:dyDescent="0.25">
      <c r="B22" t="s">
        <v>491</v>
      </c>
      <c r="C22" t="s">
        <v>590</v>
      </c>
      <c r="D22" t="s">
        <v>567</v>
      </c>
      <c r="E22" t="s">
        <v>736</v>
      </c>
      <c r="F22" t="s">
        <v>578</v>
      </c>
      <c r="G22" t="s">
        <v>563</v>
      </c>
      <c r="H22" t="s">
        <v>581</v>
      </c>
      <c r="I22" t="s">
        <v>570</v>
      </c>
      <c r="J22" t="s">
        <v>663</v>
      </c>
      <c r="K22" t="s">
        <v>572</v>
      </c>
      <c r="L22" t="s">
        <v>674</v>
      </c>
      <c r="M22" t="s">
        <v>689</v>
      </c>
    </row>
    <row r="23" spans="2:13" ht="14.45" customHeight="1" x14ac:dyDescent="0.25">
      <c r="B23">
        <v>1</v>
      </c>
      <c r="C23">
        <v>1</v>
      </c>
      <c r="D23">
        <v>1</v>
      </c>
      <c r="E23">
        <v>1</v>
      </c>
      <c r="F23">
        <v>1</v>
      </c>
      <c r="G23">
        <v>1</v>
      </c>
      <c r="H23">
        <v>1</v>
      </c>
      <c r="I23">
        <v>1</v>
      </c>
      <c r="J23">
        <v>1</v>
      </c>
      <c r="K23">
        <v>1</v>
      </c>
      <c r="L23">
        <v>1</v>
      </c>
      <c r="M23" s="10" t="s">
        <v>711</v>
      </c>
    </row>
    <row r="24" spans="2:13" ht="15" customHeight="1" x14ac:dyDescent="0.25">
      <c r="B24">
        <v>2</v>
      </c>
      <c r="C24">
        <v>2</v>
      </c>
      <c r="D24">
        <v>2</v>
      </c>
      <c r="E24">
        <v>2</v>
      </c>
      <c r="F24">
        <v>2</v>
      </c>
      <c r="G24">
        <v>2</v>
      </c>
      <c r="H24">
        <v>2</v>
      </c>
      <c r="I24">
        <v>2</v>
      </c>
      <c r="J24">
        <v>2</v>
      </c>
      <c r="K24">
        <v>2</v>
      </c>
    </row>
    <row r="25" spans="2:13" ht="14.45" customHeight="1" x14ac:dyDescent="0.25">
      <c r="B25">
        <v>3</v>
      </c>
      <c r="C25">
        <v>3</v>
      </c>
      <c r="D25">
        <v>3</v>
      </c>
      <c r="E25">
        <v>3</v>
      </c>
      <c r="F25">
        <v>3</v>
      </c>
      <c r="G25">
        <v>3</v>
      </c>
      <c r="H25">
        <v>3</v>
      </c>
      <c r="I25">
        <v>3</v>
      </c>
      <c r="J25">
        <v>3</v>
      </c>
    </row>
    <row r="26" spans="2:13" ht="14.45" customHeight="1" x14ac:dyDescent="0.25">
      <c r="B26">
        <v>4</v>
      </c>
      <c r="C26">
        <v>4</v>
      </c>
      <c r="D26">
        <v>4</v>
      </c>
      <c r="E26">
        <v>4</v>
      </c>
      <c r="F26">
        <v>4</v>
      </c>
      <c r="G26">
        <v>4</v>
      </c>
      <c r="H26">
        <v>4</v>
      </c>
      <c r="I26">
        <v>4</v>
      </c>
    </row>
    <row r="27" spans="2:13" ht="14.45" customHeight="1" x14ac:dyDescent="0.25">
      <c r="B27">
        <v>5</v>
      </c>
      <c r="C27">
        <v>5</v>
      </c>
      <c r="D27">
        <v>5</v>
      </c>
      <c r="E27">
        <v>5</v>
      </c>
      <c r="F27">
        <v>5</v>
      </c>
      <c r="G27">
        <v>5</v>
      </c>
      <c r="H27">
        <v>5</v>
      </c>
    </row>
    <row r="28" spans="2:13" ht="15" customHeight="1" x14ac:dyDescent="0.25">
      <c r="B28">
        <v>6</v>
      </c>
      <c r="C28">
        <v>6</v>
      </c>
      <c r="D28">
        <v>6</v>
      </c>
      <c r="E28">
        <v>6</v>
      </c>
      <c r="F28">
        <v>6</v>
      </c>
      <c r="G28">
        <v>6</v>
      </c>
    </row>
    <row r="29" spans="2:13" ht="14.45" customHeight="1" x14ac:dyDescent="0.25">
      <c r="B29">
        <v>7</v>
      </c>
      <c r="C29">
        <v>7</v>
      </c>
      <c r="D29">
        <v>7</v>
      </c>
      <c r="E29">
        <v>7</v>
      </c>
      <c r="F29">
        <v>7</v>
      </c>
    </row>
    <row r="30" spans="2:13" ht="14.45" customHeight="1" x14ac:dyDescent="0.25">
      <c r="B30">
        <v>8</v>
      </c>
      <c r="C30">
        <v>8</v>
      </c>
      <c r="D30">
        <v>8</v>
      </c>
      <c r="E30">
        <v>8</v>
      </c>
    </row>
    <row r="31" spans="2:13" ht="15" customHeight="1" x14ac:dyDescent="0.25">
      <c r="B31">
        <v>9</v>
      </c>
      <c r="C31">
        <v>9</v>
      </c>
      <c r="D31">
        <v>9</v>
      </c>
    </row>
    <row r="32" spans="2:13" ht="14.45" customHeight="1" x14ac:dyDescent="0.25">
      <c r="B32">
        <v>10</v>
      </c>
      <c r="C32">
        <v>10</v>
      </c>
    </row>
    <row r="33" spans="2:16" ht="15" customHeight="1" x14ac:dyDescent="0.25">
      <c r="B33">
        <v>11</v>
      </c>
    </row>
    <row r="41" spans="2:16" x14ac:dyDescent="0.25">
      <c r="P41" t="s">
        <v>1230</v>
      </c>
    </row>
    <row r="42" spans="2:16" ht="14.45" customHeight="1" x14ac:dyDescent="0.25">
      <c r="B42" t="s">
        <v>1231</v>
      </c>
    </row>
    <row r="46" spans="2:16" x14ac:dyDescent="0.25">
      <c r="P46" t="s">
        <v>1232</v>
      </c>
    </row>
    <row r="50" spans="2:16" x14ac:dyDescent="0.25">
      <c r="P50" t="s">
        <v>1233</v>
      </c>
    </row>
    <row r="53" spans="2:16" x14ac:dyDescent="0.25">
      <c r="B53" s="11" t="s">
        <v>1234</v>
      </c>
    </row>
  </sheetData>
  <hyperlinks>
    <hyperlink ref="A1" r:id="rId1" xr:uid="{00000000-0004-0000-02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W273"/>
  <sheetViews>
    <sheetView topLeftCell="B1" zoomScale="55" zoomScaleNormal="55" workbookViewId="0">
      <selection activeCell="B2" sqref="B2"/>
    </sheetView>
  </sheetViews>
  <sheetFormatPr baseColWidth="10" defaultColWidth="10.7109375" defaultRowHeight="15.75" x14ac:dyDescent="0.25"/>
  <cols>
    <col min="1" max="1" width="39.42578125" style="635" customWidth="1"/>
    <col min="2" max="2" width="41.28515625" style="627" customWidth="1"/>
    <col min="3" max="3" width="46.42578125" style="627" customWidth="1"/>
    <col min="4" max="4" width="68.85546875" style="627" customWidth="1"/>
    <col min="5" max="5" width="81.7109375" style="627" customWidth="1"/>
    <col min="6" max="6" width="80" style="627" customWidth="1"/>
    <col min="7" max="7" width="19" style="628" customWidth="1"/>
    <col min="8" max="8" width="22.7109375" style="628" customWidth="1"/>
    <col min="9" max="9" width="23.42578125" style="629" customWidth="1"/>
    <col min="10" max="10" width="15.42578125" style="629" customWidth="1"/>
    <col min="11" max="11" width="57.140625" style="636" customWidth="1"/>
    <col min="12" max="12" width="26.42578125" style="636" bestFit="1" customWidth="1"/>
    <col min="13" max="13" width="33.85546875" style="638" bestFit="1" customWidth="1"/>
    <col min="14" max="14" width="25" style="639" customWidth="1"/>
    <col min="15" max="15" width="31.42578125" style="630" customWidth="1"/>
    <col min="16" max="16" width="29.42578125" style="630" customWidth="1"/>
    <col min="17" max="17" width="20.42578125" style="629" hidden="1" customWidth="1"/>
    <col min="18" max="18" width="21.28515625" style="636" hidden="1" customWidth="1"/>
    <col min="19" max="19" width="22.140625" style="636" hidden="1" customWidth="1"/>
    <col min="20" max="20" width="27.28515625" style="636" hidden="1" customWidth="1"/>
    <col min="21" max="21" width="46.140625" style="636" customWidth="1"/>
    <col min="22" max="22" width="26.28515625" style="635" customWidth="1"/>
    <col min="23" max="23" width="51" style="636" customWidth="1"/>
    <col min="24" max="28" width="10.7109375" style="547" customWidth="1"/>
    <col min="29" max="16384" width="10.7109375" style="547"/>
  </cols>
  <sheetData>
    <row r="1" spans="1:23" ht="104.1" customHeight="1" x14ac:dyDescent="0.25">
      <c r="A1" s="614"/>
      <c r="B1" s="615" t="s">
        <v>18</v>
      </c>
      <c r="C1" s="615"/>
      <c r="D1" s="626" t="s">
        <v>19</v>
      </c>
      <c r="E1" s="673"/>
      <c r="F1" s="673"/>
      <c r="G1" s="674"/>
      <c r="H1" s="674"/>
      <c r="I1" s="675"/>
      <c r="J1" s="616"/>
      <c r="K1" s="675"/>
      <c r="L1" s="725">
        <v>5251529173</v>
      </c>
      <c r="M1" s="728">
        <v>5251529173</v>
      </c>
      <c r="N1" s="676"/>
      <c r="O1" s="677"/>
      <c r="P1" s="677"/>
      <c r="Q1" s="675"/>
      <c r="R1" s="675"/>
      <c r="S1" s="675"/>
      <c r="T1" s="675"/>
      <c r="U1" s="675"/>
      <c r="V1" s="678"/>
      <c r="W1" s="675"/>
    </row>
    <row r="2" spans="1:23" ht="89.1" customHeight="1" x14ac:dyDescent="0.25">
      <c r="A2" s="631" t="s">
        <v>22</v>
      </c>
      <c r="B2" s="632" t="s">
        <v>23</v>
      </c>
      <c r="C2" s="632" t="s">
        <v>24</v>
      </c>
      <c r="D2" s="617" t="s">
        <v>25</v>
      </c>
      <c r="E2" s="633" t="s">
        <v>26</v>
      </c>
      <c r="F2" s="618" t="s">
        <v>27</v>
      </c>
      <c r="G2" s="618" t="s">
        <v>28</v>
      </c>
      <c r="H2" s="618" t="s">
        <v>29</v>
      </c>
      <c r="I2" s="618" t="s">
        <v>30</v>
      </c>
      <c r="J2" s="618" t="s">
        <v>31</v>
      </c>
      <c r="K2" s="618" t="s">
        <v>32</v>
      </c>
      <c r="L2" s="618" t="s">
        <v>33</v>
      </c>
      <c r="M2" s="723" t="s">
        <v>34</v>
      </c>
      <c r="N2" s="721" t="s">
        <v>35</v>
      </c>
      <c r="O2" s="618" t="s">
        <v>36</v>
      </c>
      <c r="P2" s="618" t="s">
        <v>37</v>
      </c>
      <c r="Q2" s="618" t="s">
        <v>40</v>
      </c>
      <c r="R2" s="618" t="s">
        <v>41</v>
      </c>
      <c r="S2" s="618" t="s">
        <v>42</v>
      </c>
      <c r="T2" s="618" t="s">
        <v>43</v>
      </c>
      <c r="U2" s="618" t="s">
        <v>44</v>
      </c>
      <c r="V2" s="618" t="s">
        <v>45</v>
      </c>
      <c r="W2" s="618" t="s">
        <v>46</v>
      </c>
    </row>
    <row r="3" spans="1:23" s="613" customFormat="1" ht="24.95" customHeight="1" x14ac:dyDescent="0.25">
      <c r="A3" s="680">
        <v>86101600</v>
      </c>
      <c r="B3" s="681" t="s">
        <v>58</v>
      </c>
      <c r="C3" s="681" t="s">
        <v>59</v>
      </c>
      <c r="D3" s="681" t="s">
        <v>60</v>
      </c>
      <c r="E3" s="682" t="s">
        <v>61</v>
      </c>
      <c r="F3" s="682" t="s">
        <v>62</v>
      </c>
      <c r="G3" s="683">
        <v>2</v>
      </c>
      <c r="H3" s="683">
        <v>2</v>
      </c>
      <c r="I3" s="683">
        <v>3</v>
      </c>
      <c r="J3" s="683">
        <v>0</v>
      </c>
      <c r="K3" s="684" t="s">
        <v>63</v>
      </c>
      <c r="L3" s="682" t="s">
        <v>3</v>
      </c>
      <c r="M3" s="727">
        <v>24530202</v>
      </c>
      <c r="N3" s="722">
        <v>2018011000290</v>
      </c>
      <c r="O3" s="686" t="s">
        <v>2</v>
      </c>
      <c r="P3" s="686" t="s">
        <v>64</v>
      </c>
      <c r="Q3" s="683" t="s">
        <v>66</v>
      </c>
      <c r="R3" s="687">
        <v>0</v>
      </c>
      <c r="S3" s="684" t="s">
        <v>67</v>
      </c>
      <c r="T3" s="684" t="s">
        <v>68</v>
      </c>
      <c r="U3" s="684" t="s">
        <v>69</v>
      </c>
      <c r="V3" s="688">
        <v>3422121</v>
      </c>
      <c r="W3" s="689" t="s">
        <v>70</v>
      </c>
    </row>
    <row r="4" spans="1:23" s="613" customFormat="1" ht="24.95" customHeight="1" x14ac:dyDescent="0.25">
      <c r="A4" s="680">
        <v>86101600</v>
      </c>
      <c r="B4" s="681" t="s">
        <v>58</v>
      </c>
      <c r="C4" s="681" t="s">
        <v>59</v>
      </c>
      <c r="D4" s="681" t="s">
        <v>60</v>
      </c>
      <c r="E4" s="682" t="s">
        <v>61</v>
      </c>
      <c r="F4" s="682" t="s">
        <v>71</v>
      </c>
      <c r="G4" s="683">
        <v>2</v>
      </c>
      <c r="H4" s="683">
        <v>2</v>
      </c>
      <c r="I4" s="683">
        <v>3</v>
      </c>
      <c r="J4" s="683">
        <v>0</v>
      </c>
      <c r="K4" s="684" t="s">
        <v>63</v>
      </c>
      <c r="L4" s="682" t="s">
        <v>3</v>
      </c>
      <c r="M4" s="727">
        <v>9216935</v>
      </c>
      <c r="N4" s="722">
        <v>2018011000290</v>
      </c>
      <c r="O4" s="686" t="s">
        <v>2</v>
      </c>
      <c r="P4" s="686" t="s">
        <v>64</v>
      </c>
      <c r="Q4" s="683" t="s">
        <v>66</v>
      </c>
      <c r="R4" s="687">
        <v>0</v>
      </c>
      <c r="S4" s="684" t="s">
        <v>67</v>
      </c>
      <c r="T4" s="684" t="s">
        <v>68</v>
      </c>
      <c r="U4" s="684" t="s">
        <v>69</v>
      </c>
      <c r="V4" s="688">
        <v>3422121</v>
      </c>
      <c r="W4" s="689" t="s">
        <v>70</v>
      </c>
    </row>
    <row r="5" spans="1:23" s="613" customFormat="1" ht="24.95" customHeight="1" x14ac:dyDescent="0.25">
      <c r="A5" s="680">
        <v>86101600</v>
      </c>
      <c r="B5" s="681" t="s">
        <v>58</v>
      </c>
      <c r="C5" s="681" t="s">
        <v>59</v>
      </c>
      <c r="D5" s="681" t="s">
        <v>60</v>
      </c>
      <c r="E5" s="682" t="s">
        <v>72</v>
      </c>
      <c r="F5" s="682" t="s">
        <v>73</v>
      </c>
      <c r="G5" s="683">
        <v>2</v>
      </c>
      <c r="H5" s="683">
        <v>2</v>
      </c>
      <c r="I5" s="683">
        <v>10</v>
      </c>
      <c r="J5" s="683">
        <v>0</v>
      </c>
      <c r="K5" s="684" t="s">
        <v>63</v>
      </c>
      <c r="L5" s="682" t="s">
        <v>3</v>
      </c>
      <c r="M5" s="727">
        <v>4542630</v>
      </c>
      <c r="N5" s="722">
        <v>2018011000290</v>
      </c>
      <c r="O5" s="686" t="s">
        <v>2</v>
      </c>
      <c r="P5" s="686" t="s">
        <v>64</v>
      </c>
      <c r="Q5" s="683" t="s">
        <v>66</v>
      </c>
      <c r="R5" s="687">
        <v>0</v>
      </c>
      <c r="S5" s="684" t="s">
        <v>67</v>
      </c>
      <c r="T5" s="684" t="s">
        <v>68</v>
      </c>
      <c r="U5" s="684" t="s">
        <v>69</v>
      </c>
      <c r="V5" s="688">
        <v>3422121</v>
      </c>
      <c r="W5" s="689" t="s">
        <v>70</v>
      </c>
    </row>
    <row r="6" spans="1:23" s="613" customFormat="1" ht="24.95" customHeight="1" x14ac:dyDescent="0.25">
      <c r="A6" s="680">
        <v>86101600</v>
      </c>
      <c r="B6" s="681" t="s">
        <v>58</v>
      </c>
      <c r="C6" s="681" t="s">
        <v>59</v>
      </c>
      <c r="D6" s="681" t="s">
        <v>60</v>
      </c>
      <c r="E6" s="682" t="s">
        <v>74</v>
      </c>
      <c r="F6" s="682" t="s">
        <v>75</v>
      </c>
      <c r="G6" s="683">
        <v>2</v>
      </c>
      <c r="H6" s="683">
        <v>5</v>
      </c>
      <c r="I6" s="683">
        <v>4</v>
      </c>
      <c r="J6" s="683">
        <v>0</v>
      </c>
      <c r="K6" s="684" t="s">
        <v>63</v>
      </c>
      <c r="L6" s="682" t="s">
        <v>3</v>
      </c>
      <c r="M6" s="727">
        <v>6822160</v>
      </c>
      <c r="N6" s="722">
        <v>2018011000290</v>
      </c>
      <c r="O6" s="686" t="s">
        <v>2</v>
      </c>
      <c r="P6" s="686" t="s">
        <v>64</v>
      </c>
      <c r="Q6" s="683" t="s">
        <v>66</v>
      </c>
      <c r="R6" s="687">
        <v>0</v>
      </c>
      <c r="S6" s="684" t="s">
        <v>67</v>
      </c>
      <c r="T6" s="684" t="s">
        <v>68</v>
      </c>
      <c r="U6" s="684" t="s">
        <v>69</v>
      </c>
      <c r="V6" s="688">
        <v>3422121</v>
      </c>
      <c r="W6" s="689" t="s">
        <v>70</v>
      </c>
    </row>
    <row r="7" spans="1:23" s="613" customFormat="1" ht="24.95" customHeight="1" x14ac:dyDescent="0.25">
      <c r="A7" s="680">
        <v>86101600</v>
      </c>
      <c r="B7" s="681" t="s">
        <v>58</v>
      </c>
      <c r="C7" s="681" t="s">
        <v>59</v>
      </c>
      <c r="D7" s="681" t="s">
        <v>60</v>
      </c>
      <c r="E7" s="682" t="s">
        <v>74</v>
      </c>
      <c r="F7" s="682" t="s">
        <v>76</v>
      </c>
      <c r="G7" s="683">
        <v>8</v>
      </c>
      <c r="H7" s="683">
        <v>5</v>
      </c>
      <c r="I7" s="683">
        <v>4</v>
      </c>
      <c r="J7" s="683">
        <v>0</v>
      </c>
      <c r="K7" s="684" t="s">
        <v>63</v>
      </c>
      <c r="L7" s="682" t="s">
        <v>3</v>
      </c>
      <c r="M7" s="727">
        <v>6822160</v>
      </c>
      <c r="N7" s="722">
        <v>2018011000290</v>
      </c>
      <c r="O7" s="686" t="s">
        <v>2</v>
      </c>
      <c r="P7" s="686" t="s">
        <v>64</v>
      </c>
      <c r="Q7" s="683" t="s">
        <v>66</v>
      </c>
      <c r="R7" s="687">
        <v>0</v>
      </c>
      <c r="S7" s="684" t="s">
        <v>67</v>
      </c>
      <c r="T7" s="684" t="s">
        <v>68</v>
      </c>
      <c r="U7" s="684" t="s">
        <v>69</v>
      </c>
      <c r="V7" s="688">
        <v>3422121</v>
      </c>
      <c r="W7" s="689" t="s">
        <v>70</v>
      </c>
    </row>
    <row r="8" spans="1:23" s="613" customFormat="1" ht="24.95" customHeight="1" x14ac:dyDescent="0.25">
      <c r="A8" s="680">
        <v>86101600</v>
      </c>
      <c r="B8" s="681" t="s">
        <v>58</v>
      </c>
      <c r="C8" s="681" t="s">
        <v>59</v>
      </c>
      <c r="D8" s="681" t="s">
        <v>60</v>
      </c>
      <c r="E8" s="682" t="s">
        <v>74</v>
      </c>
      <c r="F8" s="682" t="s">
        <v>77</v>
      </c>
      <c r="G8" s="683">
        <v>2</v>
      </c>
      <c r="H8" s="683">
        <v>1</v>
      </c>
      <c r="I8" s="683">
        <v>0</v>
      </c>
      <c r="J8" s="683">
        <v>0</v>
      </c>
      <c r="K8" s="684" t="s">
        <v>63</v>
      </c>
      <c r="L8" s="682" t="s">
        <v>3</v>
      </c>
      <c r="M8" s="727">
        <v>1000000</v>
      </c>
      <c r="N8" s="722">
        <v>2018011000290</v>
      </c>
      <c r="O8" s="686" t="s">
        <v>2</v>
      </c>
      <c r="P8" s="686" t="s">
        <v>78</v>
      </c>
      <c r="Q8" s="683" t="s">
        <v>66</v>
      </c>
      <c r="R8" s="687">
        <v>0</v>
      </c>
      <c r="S8" s="684" t="s">
        <v>67</v>
      </c>
      <c r="T8" s="684" t="s">
        <v>68</v>
      </c>
      <c r="U8" s="684" t="s">
        <v>69</v>
      </c>
      <c r="V8" s="688">
        <v>3422121</v>
      </c>
      <c r="W8" s="689" t="s">
        <v>70</v>
      </c>
    </row>
    <row r="9" spans="1:23" s="613" customFormat="1" ht="24.95" customHeight="1" x14ac:dyDescent="0.25">
      <c r="A9" s="680">
        <v>86101600</v>
      </c>
      <c r="B9" s="681" t="s">
        <v>58</v>
      </c>
      <c r="C9" s="681" t="s">
        <v>59</v>
      </c>
      <c r="D9" s="681" t="s">
        <v>60</v>
      </c>
      <c r="E9" s="682" t="s">
        <v>74</v>
      </c>
      <c r="F9" s="682" t="s">
        <v>80</v>
      </c>
      <c r="G9" s="683">
        <v>2</v>
      </c>
      <c r="H9" s="683">
        <v>1</v>
      </c>
      <c r="I9" s="683">
        <v>0</v>
      </c>
      <c r="J9" s="683">
        <v>0</v>
      </c>
      <c r="K9" s="684" t="s">
        <v>63</v>
      </c>
      <c r="L9" s="682" t="s">
        <v>3</v>
      </c>
      <c r="M9" s="727">
        <v>1362789</v>
      </c>
      <c r="N9" s="722">
        <v>2018011000290</v>
      </c>
      <c r="O9" s="686" t="s">
        <v>2</v>
      </c>
      <c r="P9" s="686" t="s">
        <v>64</v>
      </c>
      <c r="Q9" s="683" t="s">
        <v>66</v>
      </c>
      <c r="R9" s="687">
        <v>0</v>
      </c>
      <c r="S9" s="684" t="s">
        <v>67</v>
      </c>
      <c r="T9" s="684" t="s">
        <v>68</v>
      </c>
      <c r="U9" s="684" t="s">
        <v>69</v>
      </c>
      <c r="V9" s="688">
        <v>3422121</v>
      </c>
      <c r="W9" s="689" t="s">
        <v>70</v>
      </c>
    </row>
    <row r="10" spans="1:23" s="613" customFormat="1" ht="24.95" customHeight="1" x14ac:dyDescent="0.25">
      <c r="A10" s="680">
        <v>90121500</v>
      </c>
      <c r="B10" s="681" t="s">
        <v>58</v>
      </c>
      <c r="C10" s="681" t="s">
        <v>59</v>
      </c>
      <c r="D10" s="681" t="s">
        <v>60</v>
      </c>
      <c r="E10" s="682" t="s">
        <v>74</v>
      </c>
      <c r="F10" s="682" t="s">
        <v>81</v>
      </c>
      <c r="G10" s="683">
        <v>8</v>
      </c>
      <c r="H10" s="683">
        <v>1</v>
      </c>
      <c r="I10" s="683">
        <v>0</v>
      </c>
      <c r="J10" s="683">
        <v>0</v>
      </c>
      <c r="K10" s="684" t="s">
        <v>63</v>
      </c>
      <c r="L10" s="682" t="s">
        <v>3</v>
      </c>
      <c r="M10" s="727">
        <v>3634104</v>
      </c>
      <c r="N10" s="722">
        <v>2018011000290</v>
      </c>
      <c r="O10" s="686" t="s">
        <v>2</v>
      </c>
      <c r="P10" s="686" t="s">
        <v>64</v>
      </c>
      <c r="Q10" s="683" t="s">
        <v>66</v>
      </c>
      <c r="R10" s="687">
        <v>0</v>
      </c>
      <c r="S10" s="684" t="s">
        <v>67</v>
      </c>
      <c r="T10" s="684" t="s">
        <v>68</v>
      </c>
      <c r="U10" s="684" t="s">
        <v>69</v>
      </c>
      <c r="V10" s="688">
        <v>3422121</v>
      </c>
      <c r="W10" s="689" t="s">
        <v>70</v>
      </c>
    </row>
    <row r="11" spans="1:23" s="613" customFormat="1" ht="24.95" customHeight="1" x14ac:dyDescent="0.25">
      <c r="A11" s="680">
        <v>86101600</v>
      </c>
      <c r="B11" s="681" t="s">
        <v>58</v>
      </c>
      <c r="C11" s="681" t="s">
        <v>59</v>
      </c>
      <c r="D11" s="681" t="s">
        <v>60</v>
      </c>
      <c r="E11" s="682" t="s">
        <v>74</v>
      </c>
      <c r="F11" s="682" t="s">
        <v>82</v>
      </c>
      <c r="G11" s="683">
        <v>9</v>
      </c>
      <c r="H11" s="683">
        <v>1</v>
      </c>
      <c r="I11" s="683">
        <v>0</v>
      </c>
      <c r="J11" s="683">
        <v>0</v>
      </c>
      <c r="K11" s="684" t="s">
        <v>83</v>
      </c>
      <c r="L11" s="682" t="s">
        <v>10</v>
      </c>
      <c r="M11" s="727">
        <v>6000000</v>
      </c>
      <c r="N11" s="722">
        <v>2018011000290</v>
      </c>
      <c r="O11" s="686" t="s">
        <v>2</v>
      </c>
      <c r="P11" s="686" t="s">
        <v>78</v>
      </c>
      <c r="Q11" s="683" t="s">
        <v>66</v>
      </c>
      <c r="R11" s="687">
        <v>0</v>
      </c>
      <c r="S11" s="684" t="s">
        <v>67</v>
      </c>
      <c r="T11" s="684" t="s">
        <v>68</v>
      </c>
      <c r="U11" s="684" t="s">
        <v>69</v>
      </c>
      <c r="V11" s="688">
        <v>3422121</v>
      </c>
      <c r="W11" s="689" t="s">
        <v>70</v>
      </c>
    </row>
    <row r="12" spans="1:23" s="613" customFormat="1" ht="24.95" customHeight="1" x14ac:dyDescent="0.25">
      <c r="A12" s="680">
        <v>86121700</v>
      </c>
      <c r="B12" s="681" t="s">
        <v>58</v>
      </c>
      <c r="C12" s="681" t="s">
        <v>59</v>
      </c>
      <c r="D12" s="681" t="s">
        <v>60</v>
      </c>
      <c r="E12" s="682" t="s">
        <v>84</v>
      </c>
      <c r="F12" s="682" t="s">
        <v>85</v>
      </c>
      <c r="G12" s="683">
        <v>2</v>
      </c>
      <c r="H12" s="683">
        <v>2</v>
      </c>
      <c r="I12" s="683">
        <v>0</v>
      </c>
      <c r="J12" s="683">
        <v>0</v>
      </c>
      <c r="K12" s="684" t="s">
        <v>63</v>
      </c>
      <c r="L12" s="682" t="s">
        <v>3</v>
      </c>
      <c r="M12" s="727">
        <v>3634104</v>
      </c>
      <c r="N12" s="722">
        <v>2018011000290</v>
      </c>
      <c r="O12" s="686" t="s">
        <v>2</v>
      </c>
      <c r="P12" s="686" t="s">
        <v>64</v>
      </c>
      <c r="Q12" s="683" t="s">
        <v>66</v>
      </c>
      <c r="R12" s="687">
        <v>0</v>
      </c>
      <c r="S12" s="684" t="s">
        <v>67</v>
      </c>
      <c r="T12" s="684" t="s">
        <v>68</v>
      </c>
      <c r="U12" s="684" t="s">
        <v>69</v>
      </c>
      <c r="V12" s="688">
        <v>3422121</v>
      </c>
      <c r="W12" s="689" t="s">
        <v>70</v>
      </c>
    </row>
    <row r="13" spans="1:23" s="613" customFormat="1" ht="24.95" customHeight="1" x14ac:dyDescent="0.25">
      <c r="A13" s="680">
        <v>86101600</v>
      </c>
      <c r="B13" s="681" t="s">
        <v>58</v>
      </c>
      <c r="C13" s="681" t="s">
        <v>59</v>
      </c>
      <c r="D13" s="681" t="s">
        <v>60</v>
      </c>
      <c r="E13" s="682" t="s">
        <v>86</v>
      </c>
      <c r="F13" s="682" t="s">
        <v>87</v>
      </c>
      <c r="G13" s="683">
        <v>2</v>
      </c>
      <c r="H13" s="683">
        <v>2</v>
      </c>
      <c r="I13" s="683">
        <v>4</v>
      </c>
      <c r="J13" s="683">
        <v>15</v>
      </c>
      <c r="K13" s="684" t="s">
        <v>63</v>
      </c>
      <c r="L13" s="682" t="s">
        <v>3</v>
      </c>
      <c r="M13" s="727">
        <v>6789217</v>
      </c>
      <c r="N13" s="722">
        <v>2018011000290</v>
      </c>
      <c r="O13" s="686" t="s">
        <v>2</v>
      </c>
      <c r="P13" s="686" t="s">
        <v>64</v>
      </c>
      <c r="Q13" s="683" t="s">
        <v>66</v>
      </c>
      <c r="R13" s="687">
        <v>0</v>
      </c>
      <c r="S13" s="684" t="s">
        <v>67</v>
      </c>
      <c r="T13" s="684" t="s">
        <v>68</v>
      </c>
      <c r="U13" s="684" t="s">
        <v>69</v>
      </c>
      <c r="V13" s="688">
        <v>3422121</v>
      </c>
      <c r="W13" s="689" t="s">
        <v>70</v>
      </c>
    </row>
    <row r="14" spans="1:23" s="613" customFormat="1" ht="24.95" customHeight="1" x14ac:dyDescent="0.25">
      <c r="A14" s="680">
        <v>86101600</v>
      </c>
      <c r="B14" s="681" t="s">
        <v>58</v>
      </c>
      <c r="C14" s="681" t="s">
        <v>59</v>
      </c>
      <c r="D14" s="681" t="s">
        <v>60</v>
      </c>
      <c r="E14" s="682" t="s">
        <v>86</v>
      </c>
      <c r="F14" s="682" t="s">
        <v>88</v>
      </c>
      <c r="G14" s="683">
        <v>1</v>
      </c>
      <c r="H14" s="683">
        <v>1</v>
      </c>
      <c r="I14" s="683">
        <v>0</v>
      </c>
      <c r="J14" s="683">
        <v>0</v>
      </c>
      <c r="K14" s="684" t="s">
        <v>63</v>
      </c>
      <c r="L14" s="682" t="s">
        <v>10</v>
      </c>
      <c r="M14" s="727">
        <v>3104752</v>
      </c>
      <c r="N14" s="722">
        <v>2018011000290</v>
      </c>
      <c r="O14" s="686" t="s">
        <v>2</v>
      </c>
      <c r="P14" s="686" t="s">
        <v>78</v>
      </c>
      <c r="Q14" s="683" t="s">
        <v>66</v>
      </c>
      <c r="R14" s="687">
        <v>0</v>
      </c>
      <c r="S14" s="684" t="s">
        <v>67</v>
      </c>
      <c r="T14" s="684" t="s">
        <v>68</v>
      </c>
      <c r="U14" s="684" t="s">
        <v>69</v>
      </c>
      <c r="V14" s="688">
        <v>3422121</v>
      </c>
      <c r="W14" s="689" t="s">
        <v>70</v>
      </c>
    </row>
    <row r="15" spans="1:23" s="613" customFormat="1" ht="24.95" customHeight="1" x14ac:dyDescent="0.25">
      <c r="A15" s="680">
        <v>80161504</v>
      </c>
      <c r="B15" s="681" t="s">
        <v>58</v>
      </c>
      <c r="C15" s="681" t="s">
        <v>59</v>
      </c>
      <c r="D15" s="681" t="s">
        <v>60</v>
      </c>
      <c r="E15" s="682" t="s">
        <v>89</v>
      </c>
      <c r="F15" s="682" t="s">
        <v>90</v>
      </c>
      <c r="G15" s="683">
        <v>1</v>
      </c>
      <c r="H15" s="683">
        <v>1</v>
      </c>
      <c r="I15" s="683">
        <v>10</v>
      </c>
      <c r="J15" s="683">
        <v>0</v>
      </c>
      <c r="K15" s="684" t="s">
        <v>83</v>
      </c>
      <c r="L15" s="682" t="s">
        <v>10</v>
      </c>
      <c r="M15" s="727">
        <v>3000000</v>
      </c>
      <c r="N15" s="722">
        <v>2018011000290</v>
      </c>
      <c r="O15" s="686" t="s">
        <v>2</v>
      </c>
      <c r="P15" s="686" t="s">
        <v>78</v>
      </c>
      <c r="Q15" s="683" t="s">
        <v>66</v>
      </c>
      <c r="R15" s="687">
        <v>0</v>
      </c>
      <c r="S15" s="684" t="s">
        <v>67</v>
      </c>
      <c r="T15" s="684" t="s">
        <v>68</v>
      </c>
      <c r="U15" s="684" t="s">
        <v>69</v>
      </c>
      <c r="V15" s="688">
        <v>3422121</v>
      </c>
      <c r="W15" s="689" t="s">
        <v>70</v>
      </c>
    </row>
    <row r="16" spans="1:23" s="613" customFormat="1" ht="24.95" customHeight="1" x14ac:dyDescent="0.25">
      <c r="A16" s="680">
        <v>86101600</v>
      </c>
      <c r="B16" s="681" t="s">
        <v>58</v>
      </c>
      <c r="C16" s="681" t="s">
        <v>59</v>
      </c>
      <c r="D16" s="681" t="s">
        <v>60</v>
      </c>
      <c r="E16" s="682" t="s">
        <v>91</v>
      </c>
      <c r="F16" s="682" t="s">
        <v>92</v>
      </c>
      <c r="G16" s="683">
        <v>2</v>
      </c>
      <c r="H16" s="683">
        <v>2</v>
      </c>
      <c r="I16" s="683">
        <v>11</v>
      </c>
      <c r="J16" s="683">
        <v>0</v>
      </c>
      <c r="K16" s="684" t="s">
        <v>83</v>
      </c>
      <c r="L16" s="682" t="s">
        <v>3</v>
      </c>
      <c r="M16" s="727">
        <v>11950000</v>
      </c>
      <c r="N16" s="722">
        <v>2018011000290</v>
      </c>
      <c r="O16" s="686" t="s">
        <v>2</v>
      </c>
      <c r="P16" s="686" t="s">
        <v>64</v>
      </c>
      <c r="Q16" s="683" t="s">
        <v>66</v>
      </c>
      <c r="R16" s="687">
        <v>0</v>
      </c>
      <c r="S16" s="684" t="s">
        <v>67</v>
      </c>
      <c r="T16" s="684" t="s">
        <v>68</v>
      </c>
      <c r="U16" s="684" t="s">
        <v>69</v>
      </c>
      <c r="V16" s="688">
        <v>3422121</v>
      </c>
      <c r="W16" s="689" t="s">
        <v>70</v>
      </c>
    </row>
    <row r="17" spans="1:23" s="613" customFormat="1" ht="24.95" customHeight="1" x14ac:dyDescent="0.25">
      <c r="A17" s="680">
        <v>86101600</v>
      </c>
      <c r="B17" s="681" t="s">
        <v>58</v>
      </c>
      <c r="C17" s="681" t="s">
        <v>59</v>
      </c>
      <c r="D17" s="681" t="s">
        <v>60</v>
      </c>
      <c r="E17" s="682" t="s">
        <v>91</v>
      </c>
      <c r="F17" s="682" t="s">
        <v>93</v>
      </c>
      <c r="G17" s="683">
        <v>2</v>
      </c>
      <c r="H17" s="683">
        <v>2</v>
      </c>
      <c r="I17" s="683">
        <v>0</v>
      </c>
      <c r="J17" s="683">
        <v>0</v>
      </c>
      <c r="K17" s="684" t="s">
        <v>83</v>
      </c>
      <c r="L17" s="682" t="s">
        <v>3</v>
      </c>
      <c r="M17" s="727">
        <v>1876735</v>
      </c>
      <c r="N17" s="722">
        <v>2018011000290</v>
      </c>
      <c r="O17" s="686" t="s">
        <v>2</v>
      </c>
      <c r="P17" s="686" t="s">
        <v>64</v>
      </c>
      <c r="Q17" s="683" t="s">
        <v>66</v>
      </c>
      <c r="R17" s="687">
        <v>0</v>
      </c>
      <c r="S17" s="684" t="s">
        <v>67</v>
      </c>
      <c r="T17" s="684" t="s">
        <v>68</v>
      </c>
      <c r="U17" s="684" t="s">
        <v>69</v>
      </c>
      <c r="V17" s="688">
        <v>3422121</v>
      </c>
      <c r="W17" s="689" t="s">
        <v>70</v>
      </c>
    </row>
    <row r="18" spans="1:23" s="613" customFormat="1" ht="24.95" customHeight="1" x14ac:dyDescent="0.25">
      <c r="A18" s="680">
        <v>86101600</v>
      </c>
      <c r="B18" s="681" t="s">
        <v>58</v>
      </c>
      <c r="C18" s="681" t="s">
        <v>59</v>
      </c>
      <c r="D18" s="681" t="s">
        <v>60</v>
      </c>
      <c r="E18" s="682" t="s">
        <v>91</v>
      </c>
      <c r="F18" s="682" t="s">
        <v>93</v>
      </c>
      <c r="G18" s="683">
        <v>1</v>
      </c>
      <c r="H18" s="683">
        <v>1</v>
      </c>
      <c r="I18" s="683">
        <v>0</v>
      </c>
      <c r="J18" s="683"/>
      <c r="K18" s="684" t="s">
        <v>83</v>
      </c>
      <c r="L18" s="682" t="s">
        <v>10</v>
      </c>
      <c r="M18" s="727">
        <v>123265</v>
      </c>
      <c r="N18" s="722">
        <v>2018011000290</v>
      </c>
      <c r="O18" s="686" t="s">
        <v>2</v>
      </c>
      <c r="P18" s="686" t="s">
        <v>64</v>
      </c>
      <c r="Q18" s="683" t="s">
        <v>66</v>
      </c>
      <c r="R18" s="687">
        <v>0</v>
      </c>
      <c r="S18" s="684" t="s">
        <v>67</v>
      </c>
      <c r="T18" s="684" t="s">
        <v>68</v>
      </c>
      <c r="U18" s="684" t="s">
        <v>69</v>
      </c>
      <c r="V18" s="688">
        <v>3422121</v>
      </c>
      <c r="W18" s="689" t="s">
        <v>70</v>
      </c>
    </row>
    <row r="19" spans="1:23" s="613" customFormat="1" ht="24.95" customHeight="1" x14ac:dyDescent="0.25">
      <c r="A19" s="680">
        <v>80111621</v>
      </c>
      <c r="B19" s="681" t="s">
        <v>58</v>
      </c>
      <c r="C19" s="681" t="s">
        <v>94</v>
      </c>
      <c r="D19" s="681" t="s">
        <v>94</v>
      </c>
      <c r="E19" s="682" t="s">
        <v>95</v>
      </c>
      <c r="F19" s="682" t="s">
        <v>96</v>
      </c>
      <c r="G19" s="683">
        <v>5</v>
      </c>
      <c r="H19" s="683"/>
      <c r="I19" s="683">
        <v>6</v>
      </c>
      <c r="J19" s="683"/>
      <c r="K19" s="684" t="s">
        <v>83</v>
      </c>
      <c r="L19" s="682" t="s">
        <v>3</v>
      </c>
      <c r="M19" s="727">
        <v>9781200</v>
      </c>
      <c r="N19" s="722">
        <v>2018011000290</v>
      </c>
      <c r="O19" s="686" t="s">
        <v>2</v>
      </c>
      <c r="P19" s="686" t="s">
        <v>97</v>
      </c>
      <c r="Q19" s="683" t="s">
        <v>66</v>
      </c>
      <c r="R19" s="687">
        <v>0</v>
      </c>
      <c r="S19" s="684" t="s">
        <v>67</v>
      </c>
      <c r="T19" s="684" t="s">
        <v>68</v>
      </c>
      <c r="U19" s="684" t="s">
        <v>99</v>
      </c>
      <c r="V19" s="688">
        <v>3422121</v>
      </c>
      <c r="W19" s="689" t="s">
        <v>100</v>
      </c>
    </row>
    <row r="20" spans="1:23" s="613" customFormat="1" ht="24.95" customHeight="1" x14ac:dyDescent="0.25">
      <c r="A20" s="680">
        <v>81111902</v>
      </c>
      <c r="B20" s="681" t="s">
        <v>58</v>
      </c>
      <c r="C20" s="681" t="s">
        <v>105</v>
      </c>
      <c r="D20" s="681" t="s">
        <v>94</v>
      </c>
      <c r="E20" s="682" t="s">
        <v>106</v>
      </c>
      <c r="F20" s="682" t="s">
        <v>107</v>
      </c>
      <c r="G20" s="683">
        <v>1</v>
      </c>
      <c r="H20" s="683">
        <v>1</v>
      </c>
      <c r="I20" s="683">
        <v>1</v>
      </c>
      <c r="J20" s="683"/>
      <c r="K20" s="684" t="s">
        <v>83</v>
      </c>
      <c r="L20" s="682" t="s">
        <v>3</v>
      </c>
      <c r="M20" s="727">
        <v>11025000</v>
      </c>
      <c r="N20" s="722">
        <v>2018011000319</v>
      </c>
      <c r="O20" s="686" t="s">
        <v>15</v>
      </c>
      <c r="P20" s="686" t="s">
        <v>108</v>
      </c>
      <c r="Q20" s="683" t="s">
        <v>66</v>
      </c>
      <c r="R20" s="687">
        <v>0</v>
      </c>
      <c r="S20" s="684" t="s">
        <v>67</v>
      </c>
      <c r="T20" s="684" t="s">
        <v>68</v>
      </c>
      <c r="U20" s="684" t="s">
        <v>109</v>
      </c>
      <c r="V20" s="688">
        <v>3422121</v>
      </c>
      <c r="W20" s="689" t="s">
        <v>110</v>
      </c>
    </row>
    <row r="21" spans="1:23" s="613" customFormat="1" ht="24.95" customHeight="1" x14ac:dyDescent="0.25">
      <c r="A21" s="680">
        <v>43232609</v>
      </c>
      <c r="B21" s="681" t="s">
        <v>58</v>
      </c>
      <c r="C21" s="681" t="s">
        <v>105</v>
      </c>
      <c r="D21" s="681" t="s">
        <v>94</v>
      </c>
      <c r="E21" s="682" t="s">
        <v>114</v>
      </c>
      <c r="F21" s="682" t="s">
        <v>115</v>
      </c>
      <c r="G21" s="683">
        <v>8</v>
      </c>
      <c r="H21" s="683">
        <v>8</v>
      </c>
      <c r="I21" s="683">
        <v>11</v>
      </c>
      <c r="J21" s="683">
        <v>25</v>
      </c>
      <c r="K21" s="684" t="s">
        <v>83</v>
      </c>
      <c r="L21" s="682" t="s">
        <v>3</v>
      </c>
      <c r="M21" s="727">
        <v>15980000</v>
      </c>
      <c r="N21" s="722">
        <v>2018011000319</v>
      </c>
      <c r="O21" s="686" t="s">
        <v>15</v>
      </c>
      <c r="P21" s="686" t="s">
        <v>108</v>
      </c>
      <c r="Q21" s="683" t="s">
        <v>66</v>
      </c>
      <c r="R21" s="687">
        <v>0</v>
      </c>
      <c r="S21" s="684" t="s">
        <v>67</v>
      </c>
      <c r="T21" s="684" t="s">
        <v>68</v>
      </c>
      <c r="U21" s="684" t="s">
        <v>109</v>
      </c>
      <c r="V21" s="688">
        <v>3422121</v>
      </c>
      <c r="W21" s="689" t="s">
        <v>110</v>
      </c>
    </row>
    <row r="22" spans="1:23" s="613" customFormat="1" ht="24.95" customHeight="1" x14ac:dyDescent="0.25">
      <c r="A22" s="680" t="s">
        <v>116</v>
      </c>
      <c r="B22" s="681" t="s">
        <v>58</v>
      </c>
      <c r="C22" s="681" t="s">
        <v>117</v>
      </c>
      <c r="D22" s="681" t="s">
        <v>60</v>
      </c>
      <c r="E22" s="682" t="s">
        <v>118</v>
      </c>
      <c r="F22" s="682" t="s">
        <v>119</v>
      </c>
      <c r="G22" s="683">
        <v>1</v>
      </c>
      <c r="H22" s="683">
        <v>1</v>
      </c>
      <c r="I22" s="683">
        <v>9</v>
      </c>
      <c r="J22" s="683">
        <v>15</v>
      </c>
      <c r="K22" s="684" t="s">
        <v>83</v>
      </c>
      <c r="L22" s="682" t="s">
        <v>3</v>
      </c>
      <c r="M22" s="727">
        <v>50000000</v>
      </c>
      <c r="N22" s="722">
        <v>2018011000290</v>
      </c>
      <c r="O22" s="686" t="s">
        <v>2</v>
      </c>
      <c r="P22" s="686" t="s">
        <v>120</v>
      </c>
      <c r="Q22" s="683" t="s">
        <v>66</v>
      </c>
      <c r="R22" s="687">
        <v>0</v>
      </c>
      <c r="S22" s="684" t="s">
        <v>67</v>
      </c>
      <c r="T22" s="684" t="s">
        <v>68</v>
      </c>
      <c r="U22" s="684" t="s">
        <v>121</v>
      </c>
      <c r="V22" s="688">
        <v>3422121</v>
      </c>
      <c r="W22" s="689" t="s">
        <v>122</v>
      </c>
    </row>
    <row r="23" spans="1:23" s="613" customFormat="1" ht="24.95" customHeight="1" x14ac:dyDescent="0.25">
      <c r="A23" s="680">
        <v>86101700</v>
      </c>
      <c r="B23" s="681" t="s">
        <v>58</v>
      </c>
      <c r="C23" s="681" t="s">
        <v>117</v>
      </c>
      <c r="D23" s="681" t="s">
        <v>60</v>
      </c>
      <c r="E23" s="682" t="s">
        <v>118</v>
      </c>
      <c r="F23" s="682" t="s">
        <v>126</v>
      </c>
      <c r="G23" s="683">
        <v>2</v>
      </c>
      <c r="H23" s="683">
        <v>2</v>
      </c>
      <c r="I23" s="683">
        <v>8</v>
      </c>
      <c r="J23" s="683">
        <v>15</v>
      </c>
      <c r="K23" s="684" t="s">
        <v>83</v>
      </c>
      <c r="L23" s="682" t="s">
        <v>3</v>
      </c>
      <c r="M23" s="727">
        <v>16800000</v>
      </c>
      <c r="N23" s="722">
        <v>2018011000290</v>
      </c>
      <c r="O23" s="686" t="s">
        <v>2</v>
      </c>
      <c r="P23" s="686" t="s">
        <v>120</v>
      </c>
      <c r="Q23" s="683" t="s">
        <v>66</v>
      </c>
      <c r="R23" s="687">
        <v>0</v>
      </c>
      <c r="S23" s="684" t="s">
        <v>67</v>
      </c>
      <c r="T23" s="684" t="s">
        <v>68</v>
      </c>
      <c r="U23" s="684" t="s">
        <v>121</v>
      </c>
      <c r="V23" s="688">
        <v>3422121</v>
      </c>
      <c r="W23" s="689" t="s">
        <v>122</v>
      </c>
    </row>
    <row r="24" spans="1:23" s="613" customFormat="1" ht="24.95" customHeight="1" x14ac:dyDescent="0.25">
      <c r="A24" s="680">
        <v>86101710</v>
      </c>
      <c r="B24" s="681" t="s">
        <v>58</v>
      </c>
      <c r="C24" s="681" t="s">
        <v>117</v>
      </c>
      <c r="D24" s="681" t="s">
        <v>60</v>
      </c>
      <c r="E24" s="682" t="s">
        <v>118</v>
      </c>
      <c r="F24" s="682" t="s">
        <v>128</v>
      </c>
      <c r="G24" s="683">
        <v>2</v>
      </c>
      <c r="H24" s="683">
        <v>2</v>
      </c>
      <c r="I24" s="683">
        <v>10</v>
      </c>
      <c r="J24" s="683">
        <v>0</v>
      </c>
      <c r="K24" s="684" t="s">
        <v>83</v>
      </c>
      <c r="L24" s="682" t="s">
        <v>3</v>
      </c>
      <c r="M24" s="727">
        <v>40196775</v>
      </c>
      <c r="N24" s="722">
        <v>2018011000290</v>
      </c>
      <c r="O24" s="686" t="s">
        <v>2</v>
      </c>
      <c r="P24" s="686" t="s">
        <v>120</v>
      </c>
      <c r="Q24" s="683" t="s">
        <v>66</v>
      </c>
      <c r="R24" s="687">
        <v>0</v>
      </c>
      <c r="S24" s="684" t="s">
        <v>67</v>
      </c>
      <c r="T24" s="684" t="s">
        <v>68</v>
      </c>
      <c r="U24" s="684" t="s">
        <v>121</v>
      </c>
      <c r="V24" s="688">
        <v>3422121</v>
      </c>
      <c r="W24" s="689" t="s">
        <v>122</v>
      </c>
    </row>
    <row r="25" spans="1:23" s="613" customFormat="1" ht="24.95" customHeight="1" x14ac:dyDescent="0.25">
      <c r="A25" s="680">
        <v>86141501</v>
      </c>
      <c r="B25" s="681" t="s">
        <v>58</v>
      </c>
      <c r="C25" s="681" t="s">
        <v>117</v>
      </c>
      <c r="D25" s="681" t="s">
        <v>60</v>
      </c>
      <c r="E25" s="682" t="s">
        <v>118</v>
      </c>
      <c r="F25" s="682" t="s">
        <v>130</v>
      </c>
      <c r="G25" s="683">
        <v>1</v>
      </c>
      <c r="H25" s="683">
        <v>1</v>
      </c>
      <c r="I25" s="683">
        <v>11</v>
      </c>
      <c r="J25" s="683">
        <v>15</v>
      </c>
      <c r="K25" s="684" t="s">
        <v>83</v>
      </c>
      <c r="L25" s="682" t="s">
        <v>3</v>
      </c>
      <c r="M25" s="727">
        <v>50000000</v>
      </c>
      <c r="N25" s="722">
        <v>2018011000290</v>
      </c>
      <c r="O25" s="686" t="s">
        <v>2</v>
      </c>
      <c r="P25" s="686" t="s">
        <v>120</v>
      </c>
      <c r="Q25" s="683" t="s">
        <v>66</v>
      </c>
      <c r="R25" s="687">
        <v>0</v>
      </c>
      <c r="S25" s="684" t="s">
        <v>67</v>
      </c>
      <c r="T25" s="684" t="s">
        <v>68</v>
      </c>
      <c r="U25" s="684" t="s">
        <v>121</v>
      </c>
      <c r="V25" s="688">
        <v>3422121</v>
      </c>
      <c r="W25" s="689" t="s">
        <v>122</v>
      </c>
    </row>
    <row r="26" spans="1:23" s="613" customFormat="1" ht="24.95" customHeight="1" x14ac:dyDescent="0.25">
      <c r="A26" s="680">
        <v>86101710</v>
      </c>
      <c r="B26" s="681" t="s">
        <v>58</v>
      </c>
      <c r="C26" s="681" t="s">
        <v>117</v>
      </c>
      <c r="D26" s="681" t="s">
        <v>60</v>
      </c>
      <c r="E26" s="682" t="s">
        <v>118</v>
      </c>
      <c r="F26" s="682" t="s">
        <v>131</v>
      </c>
      <c r="G26" s="683">
        <v>1</v>
      </c>
      <c r="H26" s="683">
        <v>1</v>
      </c>
      <c r="I26" s="683">
        <v>10</v>
      </c>
      <c r="J26" s="683">
        <v>0</v>
      </c>
      <c r="K26" s="684" t="s">
        <v>83</v>
      </c>
      <c r="L26" s="682" t="s">
        <v>3</v>
      </c>
      <c r="M26" s="727">
        <v>39398475</v>
      </c>
      <c r="N26" s="722">
        <v>2018011000290</v>
      </c>
      <c r="O26" s="686" t="s">
        <v>2</v>
      </c>
      <c r="P26" s="686" t="s">
        <v>120</v>
      </c>
      <c r="Q26" s="683" t="s">
        <v>66</v>
      </c>
      <c r="R26" s="687">
        <v>0</v>
      </c>
      <c r="S26" s="684" t="s">
        <v>67</v>
      </c>
      <c r="T26" s="684" t="s">
        <v>68</v>
      </c>
      <c r="U26" s="684" t="s">
        <v>121</v>
      </c>
      <c r="V26" s="688">
        <v>3422121</v>
      </c>
      <c r="W26" s="689" t="s">
        <v>122</v>
      </c>
    </row>
    <row r="27" spans="1:23" s="613" customFormat="1" ht="24.95" customHeight="1" x14ac:dyDescent="0.25">
      <c r="A27" s="680">
        <v>86101600</v>
      </c>
      <c r="B27" s="681" t="s">
        <v>58</v>
      </c>
      <c r="C27" s="681" t="s">
        <v>117</v>
      </c>
      <c r="D27" s="681" t="s">
        <v>60</v>
      </c>
      <c r="E27" s="682" t="s">
        <v>118</v>
      </c>
      <c r="F27" s="682" t="s">
        <v>133</v>
      </c>
      <c r="G27" s="683">
        <v>4</v>
      </c>
      <c r="H27" s="683">
        <v>4</v>
      </c>
      <c r="I27" s="683">
        <v>4</v>
      </c>
      <c r="J27" s="683">
        <v>0</v>
      </c>
      <c r="K27" s="684" t="s">
        <v>83</v>
      </c>
      <c r="L27" s="682" t="s">
        <v>3</v>
      </c>
      <c r="M27" s="727">
        <v>3240000</v>
      </c>
      <c r="N27" s="722">
        <v>2018011000290</v>
      </c>
      <c r="O27" s="686" t="s">
        <v>2</v>
      </c>
      <c r="P27" s="686" t="s">
        <v>120</v>
      </c>
      <c r="Q27" s="683" t="s">
        <v>66</v>
      </c>
      <c r="R27" s="687">
        <v>0</v>
      </c>
      <c r="S27" s="684" t="s">
        <v>67</v>
      </c>
      <c r="T27" s="684" t="s">
        <v>68</v>
      </c>
      <c r="U27" s="684" t="s">
        <v>121</v>
      </c>
      <c r="V27" s="688">
        <v>3422121</v>
      </c>
      <c r="W27" s="689" t="s">
        <v>122</v>
      </c>
    </row>
    <row r="28" spans="1:23" s="613" customFormat="1" ht="24.95" customHeight="1" x14ac:dyDescent="0.25">
      <c r="A28" s="680">
        <v>86101600</v>
      </c>
      <c r="B28" s="681" t="s">
        <v>58</v>
      </c>
      <c r="C28" s="681" t="s">
        <v>117</v>
      </c>
      <c r="D28" s="681" t="s">
        <v>60</v>
      </c>
      <c r="E28" s="682" t="s">
        <v>118</v>
      </c>
      <c r="F28" s="682" t="s">
        <v>135</v>
      </c>
      <c r="G28" s="683">
        <v>4</v>
      </c>
      <c r="H28" s="683">
        <v>4</v>
      </c>
      <c r="I28" s="683">
        <v>4</v>
      </c>
      <c r="J28" s="683">
        <v>0</v>
      </c>
      <c r="K28" s="684" t="s">
        <v>83</v>
      </c>
      <c r="L28" s="682" t="s">
        <v>3</v>
      </c>
      <c r="M28" s="727">
        <v>3240000</v>
      </c>
      <c r="N28" s="722">
        <v>2018011000290</v>
      </c>
      <c r="O28" s="686" t="s">
        <v>2</v>
      </c>
      <c r="P28" s="686" t="s">
        <v>120</v>
      </c>
      <c r="Q28" s="683" t="s">
        <v>66</v>
      </c>
      <c r="R28" s="687">
        <v>0</v>
      </c>
      <c r="S28" s="684" t="s">
        <v>67</v>
      </c>
      <c r="T28" s="684" t="s">
        <v>68</v>
      </c>
      <c r="U28" s="684" t="s">
        <v>121</v>
      </c>
      <c r="V28" s="688">
        <v>3422121</v>
      </c>
      <c r="W28" s="689" t="s">
        <v>122</v>
      </c>
    </row>
    <row r="29" spans="1:23" s="613" customFormat="1" ht="24.95" customHeight="1" x14ac:dyDescent="0.25">
      <c r="A29" s="680">
        <v>86101600</v>
      </c>
      <c r="B29" s="681" t="s">
        <v>58</v>
      </c>
      <c r="C29" s="681" t="s">
        <v>117</v>
      </c>
      <c r="D29" s="681" t="s">
        <v>60</v>
      </c>
      <c r="E29" s="682" t="s">
        <v>118</v>
      </c>
      <c r="F29" s="682" t="s">
        <v>136</v>
      </c>
      <c r="G29" s="683">
        <v>4</v>
      </c>
      <c r="H29" s="683">
        <v>4</v>
      </c>
      <c r="I29" s="683">
        <v>4</v>
      </c>
      <c r="J29" s="683">
        <v>0</v>
      </c>
      <c r="K29" s="684" t="s">
        <v>83</v>
      </c>
      <c r="L29" s="682" t="s">
        <v>3</v>
      </c>
      <c r="M29" s="727">
        <v>3240000</v>
      </c>
      <c r="N29" s="722">
        <v>2018011000290</v>
      </c>
      <c r="O29" s="686" t="s">
        <v>2</v>
      </c>
      <c r="P29" s="686" t="s">
        <v>120</v>
      </c>
      <c r="Q29" s="683" t="s">
        <v>66</v>
      </c>
      <c r="R29" s="687">
        <v>0</v>
      </c>
      <c r="S29" s="684" t="s">
        <v>67</v>
      </c>
      <c r="T29" s="684" t="s">
        <v>68</v>
      </c>
      <c r="U29" s="684" t="s">
        <v>121</v>
      </c>
      <c r="V29" s="688">
        <v>3422121</v>
      </c>
      <c r="W29" s="689" t="s">
        <v>122</v>
      </c>
    </row>
    <row r="30" spans="1:23" s="613" customFormat="1" ht="24.95" customHeight="1" x14ac:dyDescent="0.25">
      <c r="A30" s="680">
        <v>86101600</v>
      </c>
      <c r="B30" s="681" t="s">
        <v>58</v>
      </c>
      <c r="C30" s="681" t="s">
        <v>117</v>
      </c>
      <c r="D30" s="681" t="s">
        <v>60</v>
      </c>
      <c r="E30" s="682" t="s">
        <v>118</v>
      </c>
      <c r="F30" s="682" t="s">
        <v>137</v>
      </c>
      <c r="G30" s="683">
        <v>4</v>
      </c>
      <c r="H30" s="683">
        <v>4</v>
      </c>
      <c r="I30" s="683">
        <v>4</v>
      </c>
      <c r="J30" s="683">
        <v>0</v>
      </c>
      <c r="K30" s="684" t="s">
        <v>83</v>
      </c>
      <c r="L30" s="682" t="s">
        <v>3</v>
      </c>
      <c r="M30" s="727">
        <v>3240000</v>
      </c>
      <c r="N30" s="722">
        <v>2018011000290</v>
      </c>
      <c r="O30" s="686" t="s">
        <v>2</v>
      </c>
      <c r="P30" s="686" t="s">
        <v>120</v>
      </c>
      <c r="Q30" s="683" t="s">
        <v>66</v>
      </c>
      <c r="R30" s="687">
        <v>0</v>
      </c>
      <c r="S30" s="684" t="s">
        <v>67</v>
      </c>
      <c r="T30" s="684" t="s">
        <v>68</v>
      </c>
      <c r="U30" s="684" t="s">
        <v>121</v>
      </c>
      <c r="V30" s="688">
        <v>3422121</v>
      </c>
      <c r="W30" s="689" t="s">
        <v>122</v>
      </c>
    </row>
    <row r="31" spans="1:23" s="613" customFormat="1" ht="24.95" customHeight="1" x14ac:dyDescent="0.25">
      <c r="A31" s="680">
        <v>86101600</v>
      </c>
      <c r="B31" s="681" t="s">
        <v>58</v>
      </c>
      <c r="C31" s="681" t="s">
        <v>117</v>
      </c>
      <c r="D31" s="681" t="s">
        <v>60</v>
      </c>
      <c r="E31" s="682" t="s">
        <v>118</v>
      </c>
      <c r="F31" s="682" t="s">
        <v>138</v>
      </c>
      <c r="G31" s="683">
        <v>4</v>
      </c>
      <c r="H31" s="683">
        <v>4</v>
      </c>
      <c r="I31" s="683">
        <v>4</v>
      </c>
      <c r="J31" s="683">
        <v>0</v>
      </c>
      <c r="K31" s="684" t="s">
        <v>83</v>
      </c>
      <c r="L31" s="682" t="s">
        <v>3</v>
      </c>
      <c r="M31" s="727">
        <v>3240000</v>
      </c>
      <c r="N31" s="722">
        <v>2018011000290</v>
      </c>
      <c r="O31" s="686" t="s">
        <v>2</v>
      </c>
      <c r="P31" s="686" t="s">
        <v>120</v>
      </c>
      <c r="Q31" s="683" t="s">
        <v>66</v>
      </c>
      <c r="R31" s="687">
        <v>0</v>
      </c>
      <c r="S31" s="684" t="s">
        <v>67</v>
      </c>
      <c r="T31" s="684" t="s">
        <v>68</v>
      </c>
      <c r="U31" s="684" t="s">
        <v>121</v>
      </c>
      <c r="V31" s="688">
        <v>3422121</v>
      </c>
      <c r="W31" s="689" t="s">
        <v>122</v>
      </c>
    </row>
    <row r="32" spans="1:23" s="613" customFormat="1" ht="24.95" customHeight="1" x14ac:dyDescent="0.25">
      <c r="A32" s="680">
        <v>86101600</v>
      </c>
      <c r="B32" s="681" t="s">
        <v>58</v>
      </c>
      <c r="C32" s="681" t="s">
        <v>117</v>
      </c>
      <c r="D32" s="681" t="s">
        <v>60</v>
      </c>
      <c r="E32" s="682" t="s">
        <v>118</v>
      </c>
      <c r="F32" s="682" t="s">
        <v>139</v>
      </c>
      <c r="G32" s="683">
        <v>4</v>
      </c>
      <c r="H32" s="683">
        <v>4</v>
      </c>
      <c r="I32" s="683">
        <v>4</v>
      </c>
      <c r="J32" s="683">
        <v>0</v>
      </c>
      <c r="K32" s="684" t="s">
        <v>83</v>
      </c>
      <c r="L32" s="682" t="s">
        <v>3</v>
      </c>
      <c r="M32" s="727">
        <v>3240000</v>
      </c>
      <c r="N32" s="722">
        <v>2018011000290</v>
      </c>
      <c r="O32" s="686" t="s">
        <v>2</v>
      </c>
      <c r="P32" s="686" t="s">
        <v>120</v>
      </c>
      <c r="Q32" s="683" t="s">
        <v>66</v>
      </c>
      <c r="R32" s="687">
        <v>0</v>
      </c>
      <c r="S32" s="684" t="s">
        <v>67</v>
      </c>
      <c r="T32" s="684" t="s">
        <v>68</v>
      </c>
      <c r="U32" s="684" t="s">
        <v>121</v>
      </c>
      <c r="V32" s="688">
        <v>3422121</v>
      </c>
      <c r="W32" s="689" t="s">
        <v>122</v>
      </c>
    </row>
    <row r="33" spans="1:23" s="613" customFormat="1" ht="24.95" customHeight="1" x14ac:dyDescent="0.25">
      <c r="A33" s="680">
        <v>86101600</v>
      </c>
      <c r="B33" s="681" t="s">
        <v>58</v>
      </c>
      <c r="C33" s="681" t="s">
        <v>117</v>
      </c>
      <c r="D33" s="681" t="s">
        <v>60</v>
      </c>
      <c r="E33" s="682" t="s">
        <v>118</v>
      </c>
      <c r="F33" s="682" t="s">
        <v>140</v>
      </c>
      <c r="G33" s="683">
        <v>4</v>
      </c>
      <c r="H33" s="683">
        <v>4</v>
      </c>
      <c r="I33" s="683">
        <v>4</v>
      </c>
      <c r="J33" s="683">
        <v>0</v>
      </c>
      <c r="K33" s="684" t="s">
        <v>83</v>
      </c>
      <c r="L33" s="682" t="s">
        <v>3</v>
      </c>
      <c r="M33" s="727">
        <v>3240000</v>
      </c>
      <c r="N33" s="722">
        <v>2018011000290</v>
      </c>
      <c r="O33" s="686" t="s">
        <v>2</v>
      </c>
      <c r="P33" s="686" t="s">
        <v>120</v>
      </c>
      <c r="Q33" s="683" t="s">
        <v>66</v>
      </c>
      <c r="R33" s="687">
        <v>0</v>
      </c>
      <c r="S33" s="684" t="s">
        <v>67</v>
      </c>
      <c r="T33" s="684" t="s">
        <v>68</v>
      </c>
      <c r="U33" s="684" t="s">
        <v>121</v>
      </c>
      <c r="V33" s="688">
        <v>3422121</v>
      </c>
      <c r="W33" s="689" t="s">
        <v>122</v>
      </c>
    </row>
    <row r="34" spans="1:23" s="613" customFormat="1" ht="24.95" customHeight="1" x14ac:dyDescent="0.25">
      <c r="A34" s="680">
        <v>86101600</v>
      </c>
      <c r="B34" s="681" t="s">
        <v>58</v>
      </c>
      <c r="C34" s="681" t="s">
        <v>117</v>
      </c>
      <c r="D34" s="681" t="s">
        <v>60</v>
      </c>
      <c r="E34" s="682" t="s">
        <v>118</v>
      </c>
      <c r="F34" s="682" t="s">
        <v>141</v>
      </c>
      <c r="G34" s="683">
        <v>4</v>
      </c>
      <c r="H34" s="683">
        <v>4</v>
      </c>
      <c r="I34" s="683">
        <v>4</v>
      </c>
      <c r="J34" s="683">
        <v>0</v>
      </c>
      <c r="K34" s="684" t="s">
        <v>83</v>
      </c>
      <c r="L34" s="682" t="s">
        <v>3</v>
      </c>
      <c r="M34" s="727">
        <v>3240000</v>
      </c>
      <c r="N34" s="722">
        <v>2018011000290</v>
      </c>
      <c r="O34" s="686" t="s">
        <v>2</v>
      </c>
      <c r="P34" s="686" t="s">
        <v>120</v>
      </c>
      <c r="Q34" s="683" t="s">
        <v>66</v>
      </c>
      <c r="R34" s="687">
        <v>0</v>
      </c>
      <c r="S34" s="684" t="s">
        <v>67</v>
      </c>
      <c r="T34" s="684" t="s">
        <v>68</v>
      </c>
      <c r="U34" s="684" t="s">
        <v>121</v>
      </c>
      <c r="V34" s="688">
        <v>3422121</v>
      </c>
      <c r="W34" s="689" t="s">
        <v>122</v>
      </c>
    </row>
    <row r="35" spans="1:23" s="613" customFormat="1" ht="24.95" customHeight="1" x14ac:dyDescent="0.25">
      <c r="A35" s="680">
        <v>86101600</v>
      </c>
      <c r="B35" s="681" t="s">
        <v>58</v>
      </c>
      <c r="C35" s="681" t="s">
        <v>117</v>
      </c>
      <c r="D35" s="681" t="s">
        <v>60</v>
      </c>
      <c r="E35" s="682" t="s">
        <v>118</v>
      </c>
      <c r="F35" s="682" t="s">
        <v>142</v>
      </c>
      <c r="G35" s="683">
        <v>4</v>
      </c>
      <c r="H35" s="683">
        <v>4</v>
      </c>
      <c r="I35" s="683">
        <v>4</v>
      </c>
      <c r="J35" s="683">
        <v>0</v>
      </c>
      <c r="K35" s="684" t="s">
        <v>83</v>
      </c>
      <c r="L35" s="682" t="s">
        <v>3</v>
      </c>
      <c r="M35" s="727">
        <v>3240000</v>
      </c>
      <c r="N35" s="722">
        <v>2018011000290</v>
      </c>
      <c r="O35" s="686" t="s">
        <v>2</v>
      </c>
      <c r="P35" s="686" t="s">
        <v>120</v>
      </c>
      <c r="Q35" s="683" t="s">
        <v>66</v>
      </c>
      <c r="R35" s="687">
        <v>0</v>
      </c>
      <c r="S35" s="684" t="s">
        <v>67</v>
      </c>
      <c r="T35" s="684" t="s">
        <v>68</v>
      </c>
      <c r="U35" s="684" t="s">
        <v>121</v>
      </c>
      <c r="V35" s="688">
        <v>3422121</v>
      </c>
      <c r="W35" s="689" t="s">
        <v>122</v>
      </c>
    </row>
    <row r="36" spans="1:23" s="613" customFormat="1" ht="24.95" customHeight="1" x14ac:dyDescent="0.25">
      <c r="A36" s="680">
        <v>86101600</v>
      </c>
      <c r="B36" s="681" t="s">
        <v>58</v>
      </c>
      <c r="C36" s="681" t="s">
        <v>117</v>
      </c>
      <c r="D36" s="681" t="s">
        <v>60</v>
      </c>
      <c r="E36" s="682" t="s">
        <v>118</v>
      </c>
      <c r="F36" s="682" t="s">
        <v>143</v>
      </c>
      <c r="G36" s="683">
        <v>4</v>
      </c>
      <c r="H36" s="683">
        <v>4</v>
      </c>
      <c r="I36" s="683">
        <v>4</v>
      </c>
      <c r="J36" s="683">
        <v>0</v>
      </c>
      <c r="K36" s="684" t="s">
        <v>83</v>
      </c>
      <c r="L36" s="682" t="s">
        <v>3</v>
      </c>
      <c r="M36" s="727">
        <v>3240000</v>
      </c>
      <c r="N36" s="722">
        <v>2018011000290</v>
      </c>
      <c r="O36" s="686" t="s">
        <v>2</v>
      </c>
      <c r="P36" s="686" t="s">
        <v>120</v>
      </c>
      <c r="Q36" s="683" t="s">
        <v>66</v>
      </c>
      <c r="R36" s="687">
        <v>0</v>
      </c>
      <c r="S36" s="684" t="s">
        <v>67</v>
      </c>
      <c r="T36" s="684" t="s">
        <v>68</v>
      </c>
      <c r="U36" s="684" t="s">
        <v>121</v>
      </c>
      <c r="V36" s="688">
        <v>3422121</v>
      </c>
      <c r="W36" s="689" t="s">
        <v>122</v>
      </c>
    </row>
    <row r="37" spans="1:23" s="613" customFormat="1" ht="24.95" customHeight="1" x14ac:dyDescent="0.25">
      <c r="A37" s="680">
        <v>86101600</v>
      </c>
      <c r="B37" s="681" t="s">
        <v>58</v>
      </c>
      <c r="C37" s="681" t="s">
        <v>117</v>
      </c>
      <c r="D37" s="681" t="s">
        <v>60</v>
      </c>
      <c r="E37" s="682" t="s">
        <v>118</v>
      </c>
      <c r="F37" s="682" t="s">
        <v>144</v>
      </c>
      <c r="G37" s="683">
        <v>2</v>
      </c>
      <c r="H37" s="683">
        <v>2</v>
      </c>
      <c r="I37" s="683">
        <v>4</v>
      </c>
      <c r="J37" s="683">
        <v>0</v>
      </c>
      <c r="K37" s="684" t="s">
        <v>83</v>
      </c>
      <c r="L37" s="682" t="s">
        <v>3</v>
      </c>
      <c r="M37" s="727">
        <v>3230760</v>
      </c>
      <c r="N37" s="722">
        <v>2018011000290</v>
      </c>
      <c r="O37" s="686" t="s">
        <v>2</v>
      </c>
      <c r="P37" s="686" t="s">
        <v>120</v>
      </c>
      <c r="Q37" s="683" t="s">
        <v>66</v>
      </c>
      <c r="R37" s="687">
        <v>0</v>
      </c>
      <c r="S37" s="684" t="s">
        <v>67</v>
      </c>
      <c r="T37" s="684" t="s">
        <v>68</v>
      </c>
      <c r="U37" s="684" t="s">
        <v>121</v>
      </c>
      <c r="V37" s="688">
        <v>3422121</v>
      </c>
      <c r="W37" s="689" t="s">
        <v>122</v>
      </c>
    </row>
    <row r="38" spans="1:23" s="613" customFormat="1" ht="24.95" customHeight="1" x14ac:dyDescent="0.25">
      <c r="A38" s="680">
        <v>86101601</v>
      </c>
      <c r="B38" s="681" t="s">
        <v>58</v>
      </c>
      <c r="C38" s="681" t="s">
        <v>117</v>
      </c>
      <c r="D38" s="681" t="s">
        <v>60</v>
      </c>
      <c r="E38" s="682" t="s">
        <v>118</v>
      </c>
      <c r="F38" s="682" t="s">
        <v>144</v>
      </c>
      <c r="G38" s="683">
        <v>2</v>
      </c>
      <c r="H38" s="683">
        <v>2</v>
      </c>
      <c r="I38" s="683">
        <v>4</v>
      </c>
      <c r="J38" s="683">
        <v>0</v>
      </c>
      <c r="K38" s="684" t="s">
        <v>83</v>
      </c>
      <c r="L38" s="682" t="s">
        <v>3</v>
      </c>
      <c r="M38" s="727">
        <v>3230760</v>
      </c>
      <c r="N38" s="722">
        <v>2018011000290</v>
      </c>
      <c r="O38" s="686" t="s">
        <v>2</v>
      </c>
      <c r="P38" s="686" t="s">
        <v>120</v>
      </c>
      <c r="Q38" s="683"/>
      <c r="R38" s="687"/>
      <c r="S38" s="684"/>
      <c r="T38" s="684"/>
      <c r="U38" s="684" t="s">
        <v>121</v>
      </c>
      <c r="V38" s="688"/>
      <c r="W38" s="689"/>
    </row>
    <row r="39" spans="1:23" s="613" customFormat="1" ht="24.95" customHeight="1" x14ac:dyDescent="0.25">
      <c r="A39" s="680">
        <v>86101601</v>
      </c>
      <c r="B39" s="681" t="s">
        <v>58</v>
      </c>
      <c r="C39" s="681" t="s">
        <v>117</v>
      </c>
      <c r="D39" s="681" t="s">
        <v>60</v>
      </c>
      <c r="E39" s="682" t="s">
        <v>118</v>
      </c>
      <c r="F39" s="682" t="s">
        <v>144</v>
      </c>
      <c r="G39" s="683">
        <v>7</v>
      </c>
      <c r="H39" s="683">
        <v>7</v>
      </c>
      <c r="I39" s="683">
        <v>4</v>
      </c>
      <c r="J39" s="683">
        <v>0</v>
      </c>
      <c r="K39" s="684" t="s">
        <v>83</v>
      </c>
      <c r="L39" s="682" t="s">
        <v>3</v>
      </c>
      <c r="M39" s="727">
        <v>3230760</v>
      </c>
      <c r="N39" s="722">
        <v>2018011000290</v>
      </c>
      <c r="O39" s="686" t="s">
        <v>2</v>
      </c>
      <c r="P39" s="686" t="s">
        <v>120</v>
      </c>
      <c r="Q39" s="683" t="s">
        <v>66</v>
      </c>
      <c r="R39" s="687">
        <v>0</v>
      </c>
      <c r="S39" s="684" t="s">
        <v>67</v>
      </c>
      <c r="T39" s="684" t="s">
        <v>68</v>
      </c>
      <c r="U39" s="684" t="s">
        <v>121</v>
      </c>
      <c r="V39" s="688">
        <v>3422121</v>
      </c>
      <c r="W39" s="689" t="s">
        <v>122</v>
      </c>
    </row>
    <row r="40" spans="1:23" s="613" customFormat="1" ht="24.95" customHeight="1" x14ac:dyDescent="0.25">
      <c r="A40" s="680">
        <v>86101600</v>
      </c>
      <c r="B40" s="681" t="s">
        <v>58</v>
      </c>
      <c r="C40" s="681" t="s">
        <v>117</v>
      </c>
      <c r="D40" s="681" t="s">
        <v>60</v>
      </c>
      <c r="E40" s="682" t="s">
        <v>118</v>
      </c>
      <c r="F40" s="682" t="s">
        <v>147</v>
      </c>
      <c r="G40" s="683">
        <v>1</v>
      </c>
      <c r="H40" s="683">
        <v>8</v>
      </c>
      <c r="I40" s="683">
        <v>4</v>
      </c>
      <c r="J40" s="683">
        <v>0</v>
      </c>
      <c r="K40" s="684" t="s">
        <v>83</v>
      </c>
      <c r="L40" s="682" t="s">
        <v>3</v>
      </c>
      <c r="M40" s="727">
        <v>1350000</v>
      </c>
      <c r="N40" s="722">
        <v>2018011000290</v>
      </c>
      <c r="O40" s="686" t="s">
        <v>2</v>
      </c>
      <c r="P40" s="686" t="s">
        <v>120</v>
      </c>
      <c r="Q40" s="683" t="s">
        <v>66</v>
      </c>
      <c r="R40" s="687">
        <v>0</v>
      </c>
      <c r="S40" s="684" t="s">
        <v>67</v>
      </c>
      <c r="T40" s="684" t="s">
        <v>68</v>
      </c>
      <c r="U40" s="684" t="s">
        <v>121</v>
      </c>
      <c r="V40" s="688">
        <v>3422121</v>
      </c>
      <c r="W40" s="689" t="s">
        <v>122</v>
      </c>
    </row>
    <row r="41" spans="1:23" s="613" customFormat="1" ht="24.95" customHeight="1" x14ac:dyDescent="0.25">
      <c r="A41" s="680">
        <v>86101600</v>
      </c>
      <c r="B41" s="681" t="s">
        <v>58</v>
      </c>
      <c r="C41" s="681" t="s">
        <v>117</v>
      </c>
      <c r="D41" s="681" t="s">
        <v>60</v>
      </c>
      <c r="E41" s="682" t="s">
        <v>118</v>
      </c>
      <c r="F41" s="682" t="s">
        <v>148</v>
      </c>
      <c r="G41" s="683">
        <v>1</v>
      </c>
      <c r="H41" s="683">
        <v>8</v>
      </c>
      <c r="I41" s="683">
        <v>4</v>
      </c>
      <c r="J41" s="683">
        <v>0</v>
      </c>
      <c r="K41" s="684" t="s">
        <v>83</v>
      </c>
      <c r="L41" s="682" t="s">
        <v>3</v>
      </c>
      <c r="M41" s="727">
        <v>1620000</v>
      </c>
      <c r="N41" s="722">
        <v>2018011000290</v>
      </c>
      <c r="O41" s="686" t="s">
        <v>2</v>
      </c>
      <c r="P41" s="686" t="s">
        <v>120</v>
      </c>
      <c r="Q41" s="683" t="s">
        <v>66</v>
      </c>
      <c r="R41" s="687">
        <v>0</v>
      </c>
      <c r="S41" s="684" t="s">
        <v>67</v>
      </c>
      <c r="T41" s="684" t="s">
        <v>68</v>
      </c>
      <c r="U41" s="684" t="s">
        <v>121</v>
      </c>
      <c r="V41" s="688">
        <v>3422121</v>
      </c>
      <c r="W41" s="689" t="s">
        <v>122</v>
      </c>
    </row>
    <row r="42" spans="1:23" s="613" customFormat="1" ht="24.95" customHeight="1" x14ac:dyDescent="0.25">
      <c r="A42" s="680">
        <v>86101600</v>
      </c>
      <c r="B42" s="681" t="s">
        <v>58</v>
      </c>
      <c r="C42" s="681" t="s">
        <v>117</v>
      </c>
      <c r="D42" s="681" t="s">
        <v>60</v>
      </c>
      <c r="E42" s="682" t="s">
        <v>118</v>
      </c>
      <c r="F42" s="682" t="s">
        <v>148</v>
      </c>
      <c r="G42" s="683">
        <v>1</v>
      </c>
      <c r="H42" s="683">
        <v>8</v>
      </c>
      <c r="I42" s="683">
        <v>4</v>
      </c>
      <c r="J42" s="683">
        <v>0</v>
      </c>
      <c r="K42" s="684" t="s">
        <v>83</v>
      </c>
      <c r="L42" s="682" t="s">
        <v>3</v>
      </c>
      <c r="M42" s="727">
        <v>2240723</v>
      </c>
      <c r="N42" s="722">
        <v>2018011000290</v>
      </c>
      <c r="O42" s="686" t="s">
        <v>2</v>
      </c>
      <c r="P42" s="686" t="s">
        <v>120</v>
      </c>
      <c r="Q42" s="683" t="s">
        <v>66</v>
      </c>
      <c r="R42" s="687">
        <v>0</v>
      </c>
      <c r="S42" s="684" t="s">
        <v>67</v>
      </c>
      <c r="T42" s="684" t="s">
        <v>68</v>
      </c>
      <c r="U42" s="684" t="s">
        <v>121</v>
      </c>
      <c r="V42" s="688">
        <v>3422121</v>
      </c>
      <c r="W42" s="689" t="s">
        <v>122</v>
      </c>
    </row>
    <row r="43" spans="1:23" s="613" customFormat="1" ht="24.95" customHeight="1" x14ac:dyDescent="0.25">
      <c r="A43" s="680" t="s">
        <v>149</v>
      </c>
      <c r="B43" s="681" t="s">
        <v>58</v>
      </c>
      <c r="C43" s="681" t="s">
        <v>105</v>
      </c>
      <c r="D43" s="681" t="s">
        <v>94</v>
      </c>
      <c r="E43" s="682" t="s">
        <v>106</v>
      </c>
      <c r="F43" s="682" t="s">
        <v>150</v>
      </c>
      <c r="G43" s="683">
        <v>4</v>
      </c>
      <c r="H43" s="683">
        <v>3</v>
      </c>
      <c r="I43" s="683">
        <v>3</v>
      </c>
      <c r="J43" s="683">
        <v>25</v>
      </c>
      <c r="K43" s="684" t="s">
        <v>151</v>
      </c>
      <c r="L43" s="682" t="s">
        <v>3</v>
      </c>
      <c r="M43" s="727">
        <v>25693446</v>
      </c>
      <c r="N43" s="722">
        <v>2018011000290</v>
      </c>
      <c r="O43" s="686" t="s">
        <v>2</v>
      </c>
      <c r="P43" s="686" t="s">
        <v>78</v>
      </c>
      <c r="Q43" s="683" t="s">
        <v>66</v>
      </c>
      <c r="R43" s="687">
        <v>0</v>
      </c>
      <c r="S43" s="684" t="s">
        <v>67</v>
      </c>
      <c r="T43" s="684" t="s">
        <v>68</v>
      </c>
      <c r="U43" s="684" t="s">
        <v>109</v>
      </c>
      <c r="V43" s="688">
        <v>3422121</v>
      </c>
      <c r="W43" s="689" t="s">
        <v>122</v>
      </c>
    </row>
    <row r="44" spans="1:23" s="613" customFormat="1" ht="24.95" customHeight="1" x14ac:dyDescent="0.25">
      <c r="A44" s="680" t="s">
        <v>152</v>
      </c>
      <c r="B44" s="681" t="s">
        <v>58</v>
      </c>
      <c r="C44" s="681" t="s">
        <v>105</v>
      </c>
      <c r="D44" s="681" t="s">
        <v>94</v>
      </c>
      <c r="E44" s="682" t="s">
        <v>106</v>
      </c>
      <c r="F44" s="682" t="s">
        <v>150</v>
      </c>
      <c r="G44" s="683">
        <v>4</v>
      </c>
      <c r="H44" s="683">
        <v>3</v>
      </c>
      <c r="I44" s="683">
        <v>3</v>
      </c>
      <c r="J44" s="683">
        <v>25</v>
      </c>
      <c r="K44" s="684" t="s">
        <v>151</v>
      </c>
      <c r="L44" s="682" t="s">
        <v>3</v>
      </c>
      <c r="M44" s="727">
        <v>4306554</v>
      </c>
      <c r="N44" s="722">
        <v>2018011000319</v>
      </c>
      <c r="O44" s="686" t="s">
        <v>15</v>
      </c>
      <c r="P44" s="686" t="s">
        <v>108</v>
      </c>
      <c r="Q44" s="683" t="s">
        <v>66</v>
      </c>
      <c r="R44" s="687">
        <v>0</v>
      </c>
      <c r="S44" s="684" t="s">
        <v>67</v>
      </c>
      <c r="T44" s="684" t="s">
        <v>68</v>
      </c>
      <c r="U44" s="684" t="s">
        <v>109</v>
      </c>
      <c r="V44" s="688">
        <v>3422121</v>
      </c>
      <c r="W44" s="689" t="s">
        <v>110</v>
      </c>
    </row>
    <row r="45" spans="1:23" s="613" customFormat="1" ht="24.95" customHeight="1" x14ac:dyDescent="0.25">
      <c r="A45" s="680" t="s">
        <v>149</v>
      </c>
      <c r="B45" s="681" t="s">
        <v>58</v>
      </c>
      <c r="C45" s="681" t="s">
        <v>105</v>
      </c>
      <c r="D45" s="681" t="s">
        <v>94</v>
      </c>
      <c r="E45" s="682" t="s">
        <v>106</v>
      </c>
      <c r="F45" s="682" t="s">
        <v>153</v>
      </c>
      <c r="G45" s="683">
        <v>1</v>
      </c>
      <c r="H45" s="683">
        <v>1</v>
      </c>
      <c r="I45" s="683">
        <v>11</v>
      </c>
      <c r="J45" s="683">
        <v>25</v>
      </c>
      <c r="K45" s="684" t="s">
        <v>154</v>
      </c>
      <c r="L45" s="682" t="s">
        <v>10</v>
      </c>
      <c r="M45" s="727">
        <v>26365813</v>
      </c>
      <c r="N45" s="722">
        <v>2018011000319</v>
      </c>
      <c r="O45" s="686" t="s">
        <v>15</v>
      </c>
      <c r="P45" s="686" t="s">
        <v>108</v>
      </c>
      <c r="Q45" s="683" t="s">
        <v>66</v>
      </c>
      <c r="R45" s="687">
        <v>0</v>
      </c>
      <c r="S45" s="684" t="s">
        <v>67</v>
      </c>
      <c r="T45" s="684" t="s">
        <v>68</v>
      </c>
      <c r="U45" s="684" t="s">
        <v>109</v>
      </c>
      <c r="V45" s="688">
        <v>3422121</v>
      </c>
      <c r="W45" s="689" t="s">
        <v>110</v>
      </c>
    </row>
    <row r="46" spans="1:23" s="613" customFormat="1" ht="24.95" customHeight="1" x14ac:dyDescent="0.25">
      <c r="A46" s="680" t="s">
        <v>149</v>
      </c>
      <c r="B46" s="681" t="s">
        <v>58</v>
      </c>
      <c r="C46" s="681" t="s">
        <v>105</v>
      </c>
      <c r="D46" s="681" t="s">
        <v>94</v>
      </c>
      <c r="E46" s="682" t="s">
        <v>106</v>
      </c>
      <c r="F46" s="682" t="s">
        <v>153</v>
      </c>
      <c r="G46" s="683">
        <v>1</v>
      </c>
      <c r="H46" s="683">
        <v>1</v>
      </c>
      <c r="I46" s="683">
        <v>11</v>
      </c>
      <c r="J46" s="683">
        <v>25</v>
      </c>
      <c r="K46" s="684" t="s">
        <v>154</v>
      </c>
      <c r="L46" s="682" t="s">
        <v>3</v>
      </c>
      <c r="M46" s="727">
        <v>634187</v>
      </c>
      <c r="N46" s="722">
        <v>2018011000319</v>
      </c>
      <c r="O46" s="686" t="s">
        <v>15</v>
      </c>
      <c r="P46" s="686" t="s">
        <v>108</v>
      </c>
      <c r="Q46" s="683" t="s">
        <v>66</v>
      </c>
      <c r="R46" s="687">
        <v>0</v>
      </c>
      <c r="S46" s="684" t="s">
        <v>67</v>
      </c>
      <c r="T46" s="684" t="s">
        <v>68</v>
      </c>
      <c r="U46" s="684" t="s">
        <v>109</v>
      </c>
      <c r="V46" s="688">
        <v>3422121</v>
      </c>
      <c r="W46" s="689" t="s">
        <v>110</v>
      </c>
    </row>
    <row r="47" spans="1:23" s="613" customFormat="1" ht="24.95" customHeight="1" x14ac:dyDescent="0.25">
      <c r="A47" s="680">
        <v>81111902</v>
      </c>
      <c r="B47" s="681" t="s">
        <v>58</v>
      </c>
      <c r="C47" s="681" t="s">
        <v>105</v>
      </c>
      <c r="D47" s="681" t="s">
        <v>94</v>
      </c>
      <c r="E47" s="682" t="s">
        <v>106</v>
      </c>
      <c r="F47" s="682" t="s">
        <v>155</v>
      </c>
      <c r="G47" s="683">
        <v>1</v>
      </c>
      <c r="H47" s="683">
        <v>1</v>
      </c>
      <c r="I47" s="683">
        <v>1</v>
      </c>
      <c r="J47" s="683"/>
      <c r="K47" s="684" t="s">
        <v>83</v>
      </c>
      <c r="L47" s="682" t="s">
        <v>3</v>
      </c>
      <c r="M47" s="727">
        <v>34260574</v>
      </c>
      <c r="N47" s="722">
        <v>2018011000319</v>
      </c>
      <c r="O47" s="686" t="s">
        <v>15</v>
      </c>
      <c r="P47" s="686" t="s">
        <v>108</v>
      </c>
      <c r="Q47" s="683" t="s">
        <v>66</v>
      </c>
      <c r="R47" s="687">
        <v>0</v>
      </c>
      <c r="S47" s="684" t="s">
        <v>67</v>
      </c>
      <c r="T47" s="684" t="s">
        <v>68</v>
      </c>
      <c r="U47" s="684" t="s">
        <v>109</v>
      </c>
      <c r="V47" s="688">
        <v>3422121</v>
      </c>
      <c r="W47" s="689" t="s">
        <v>110</v>
      </c>
    </row>
    <row r="48" spans="1:23" s="613" customFormat="1" ht="24.95" customHeight="1" x14ac:dyDescent="0.25">
      <c r="A48" s="680">
        <v>81111902</v>
      </c>
      <c r="B48" s="681" t="s">
        <v>58</v>
      </c>
      <c r="C48" s="681" t="s">
        <v>105</v>
      </c>
      <c r="D48" s="681" t="s">
        <v>94</v>
      </c>
      <c r="E48" s="682" t="s">
        <v>106</v>
      </c>
      <c r="F48" s="682" t="s">
        <v>156</v>
      </c>
      <c r="G48" s="683">
        <v>8</v>
      </c>
      <c r="H48" s="683">
        <v>8</v>
      </c>
      <c r="I48" s="683">
        <v>11</v>
      </c>
      <c r="J48" s="683">
        <v>25</v>
      </c>
      <c r="K48" s="684" t="s">
        <v>83</v>
      </c>
      <c r="L48" s="682" t="s">
        <v>10</v>
      </c>
      <c r="M48" s="727">
        <v>14619696</v>
      </c>
      <c r="N48" s="722">
        <v>2018011000319</v>
      </c>
      <c r="O48" s="686" t="s">
        <v>15</v>
      </c>
      <c r="P48" s="686" t="s">
        <v>108</v>
      </c>
      <c r="Q48" s="683" t="s">
        <v>66</v>
      </c>
      <c r="R48" s="687">
        <v>0</v>
      </c>
      <c r="S48" s="684" t="s">
        <v>67</v>
      </c>
      <c r="T48" s="684" t="s">
        <v>68</v>
      </c>
      <c r="U48" s="684" t="s">
        <v>109</v>
      </c>
      <c r="V48" s="688">
        <v>3422121</v>
      </c>
      <c r="W48" s="689" t="s">
        <v>110</v>
      </c>
    </row>
    <row r="49" spans="1:23" s="613" customFormat="1" ht="24.95" customHeight="1" x14ac:dyDescent="0.25">
      <c r="A49" s="680">
        <v>81111902</v>
      </c>
      <c r="B49" s="681" t="s">
        <v>58</v>
      </c>
      <c r="C49" s="681" t="s">
        <v>105</v>
      </c>
      <c r="D49" s="681" t="s">
        <v>94</v>
      </c>
      <c r="E49" s="682" t="s">
        <v>106</v>
      </c>
      <c r="F49" s="682" t="s">
        <v>157</v>
      </c>
      <c r="G49" s="683">
        <v>3</v>
      </c>
      <c r="H49" s="683">
        <v>3</v>
      </c>
      <c r="I49" s="683">
        <v>1</v>
      </c>
      <c r="J49" s="683">
        <v>0</v>
      </c>
      <c r="K49" s="684" t="s">
        <v>83</v>
      </c>
      <c r="L49" s="682" t="s">
        <v>10</v>
      </c>
      <c r="M49" s="727">
        <v>15380304</v>
      </c>
      <c r="N49" s="722">
        <v>2018011000319</v>
      </c>
      <c r="O49" s="686" t="s">
        <v>15</v>
      </c>
      <c r="P49" s="686" t="s">
        <v>108</v>
      </c>
      <c r="Q49" s="683" t="s">
        <v>66</v>
      </c>
      <c r="R49" s="687">
        <v>0</v>
      </c>
      <c r="S49" s="684" t="s">
        <v>67</v>
      </c>
      <c r="T49" s="684" t="s">
        <v>68</v>
      </c>
      <c r="U49" s="684" t="s">
        <v>109</v>
      </c>
      <c r="V49" s="688">
        <v>3422121</v>
      </c>
      <c r="W49" s="689" t="s">
        <v>110</v>
      </c>
    </row>
    <row r="50" spans="1:23" s="613" customFormat="1" ht="24.95" customHeight="1" x14ac:dyDescent="0.25">
      <c r="A50" s="680">
        <v>81111902</v>
      </c>
      <c r="B50" s="681" t="s">
        <v>58</v>
      </c>
      <c r="C50" s="681" t="s">
        <v>105</v>
      </c>
      <c r="D50" s="681" t="s">
        <v>94</v>
      </c>
      <c r="E50" s="682" t="s">
        <v>106</v>
      </c>
      <c r="F50" s="682" t="s">
        <v>157</v>
      </c>
      <c r="G50" s="683"/>
      <c r="H50" s="683"/>
      <c r="I50" s="683">
        <v>1</v>
      </c>
      <c r="J50" s="683">
        <v>0</v>
      </c>
      <c r="K50" s="684" t="s">
        <v>83</v>
      </c>
      <c r="L50" s="682" t="s">
        <v>3</v>
      </c>
      <c r="M50" s="727">
        <v>3923956</v>
      </c>
      <c r="N50" s="722">
        <v>2018011000319</v>
      </c>
      <c r="O50" s="686" t="s">
        <v>15</v>
      </c>
      <c r="P50" s="686" t="s">
        <v>108</v>
      </c>
      <c r="Q50" s="683" t="s">
        <v>66</v>
      </c>
      <c r="R50" s="687">
        <v>0</v>
      </c>
      <c r="S50" s="684" t="s">
        <v>67</v>
      </c>
      <c r="T50" s="684" t="s">
        <v>68</v>
      </c>
      <c r="U50" s="684" t="s">
        <v>109</v>
      </c>
      <c r="V50" s="688">
        <v>3422121</v>
      </c>
      <c r="W50" s="689" t="s">
        <v>110</v>
      </c>
    </row>
    <row r="51" spans="1:23" s="613" customFormat="1" ht="24.95" customHeight="1" x14ac:dyDescent="0.25">
      <c r="A51" s="680">
        <v>81111902</v>
      </c>
      <c r="B51" s="681" t="s">
        <v>58</v>
      </c>
      <c r="C51" s="681" t="s">
        <v>105</v>
      </c>
      <c r="D51" s="681" t="s">
        <v>94</v>
      </c>
      <c r="E51" s="682" t="s">
        <v>158</v>
      </c>
      <c r="F51" s="682" t="s">
        <v>159</v>
      </c>
      <c r="G51" s="683">
        <v>9</v>
      </c>
      <c r="H51" s="683">
        <v>9</v>
      </c>
      <c r="I51" s="683">
        <v>11</v>
      </c>
      <c r="J51" s="683">
        <v>25</v>
      </c>
      <c r="K51" s="684" t="s">
        <v>83</v>
      </c>
      <c r="L51" s="682" t="s">
        <v>3</v>
      </c>
      <c r="M51" s="727">
        <v>2429400</v>
      </c>
      <c r="N51" s="722">
        <v>2018011000319</v>
      </c>
      <c r="O51" s="686" t="s">
        <v>15</v>
      </c>
      <c r="P51" s="686" t="s">
        <v>108</v>
      </c>
      <c r="Q51" s="683" t="s">
        <v>66</v>
      </c>
      <c r="R51" s="687">
        <v>0</v>
      </c>
      <c r="S51" s="684" t="s">
        <v>67</v>
      </c>
      <c r="T51" s="684" t="s">
        <v>68</v>
      </c>
      <c r="U51" s="684" t="s">
        <v>109</v>
      </c>
      <c r="V51" s="688">
        <v>3422121</v>
      </c>
      <c r="W51" s="689" t="s">
        <v>110</v>
      </c>
    </row>
    <row r="52" spans="1:23" s="613" customFormat="1" ht="24.95" customHeight="1" x14ac:dyDescent="0.25">
      <c r="A52" s="680" t="s">
        <v>160</v>
      </c>
      <c r="B52" s="681" t="s">
        <v>58</v>
      </c>
      <c r="C52" s="681" t="s">
        <v>105</v>
      </c>
      <c r="D52" s="681" t="s">
        <v>94</v>
      </c>
      <c r="E52" s="682" t="s">
        <v>114</v>
      </c>
      <c r="F52" s="682" t="s">
        <v>161</v>
      </c>
      <c r="G52" s="683">
        <v>9</v>
      </c>
      <c r="H52" s="683">
        <v>9</v>
      </c>
      <c r="I52" s="683">
        <v>11</v>
      </c>
      <c r="J52" s="683">
        <v>25</v>
      </c>
      <c r="K52" s="684" t="s">
        <v>83</v>
      </c>
      <c r="L52" s="682" t="s">
        <v>3</v>
      </c>
      <c r="M52" s="727">
        <v>13500000</v>
      </c>
      <c r="N52" s="722">
        <v>2018011000319</v>
      </c>
      <c r="O52" s="686" t="s">
        <v>15</v>
      </c>
      <c r="P52" s="686" t="s">
        <v>108</v>
      </c>
      <c r="Q52" s="683" t="s">
        <v>66</v>
      </c>
      <c r="R52" s="687">
        <v>0</v>
      </c>
      <c r="S52" s="684" t="s">
        <v>67</v>
      </c>
      <c r="T52" s="684" t="s">
        <v>68</v>
      </c>
      <c r="U52" s="684" t="s">
        <v>109</v>
      </c>
      <c r="V52" s="688">
        <v>3422121</v>
      </c>
      <c r="W52" s="689" t="s">
        <v>110</v>
      </c>
    </row>
    <row r="53" spans="1:23" s="613" customFormat="1" ht="24.95" customHeight="1" x14ac:dyDescent="0.25">
      <c r="A53" s="680">
        <v>82121500</v>
      </c>
      <c r="B53" s="681" t="s">
        <v>58</v>
      </c>
      <c r="C53" s="681" t="s">
        <v>162</v>
      </c>
      <c r="D53" s="681" t="s">
        <v>163</v>
      </c>
      <c r="E53" s="682" t="s">
        <v>164</v>
      </c>
      <c r="F53" s="682" t="s">
        <v>165</v>
      </c>
      <c r="G53" s="683">
        <v>2</v>
      </c>
      <c r="H53" s="683">
        <v>2</v>
      </c>
      <c r="I53" s="683">
        <v>10</v>
      </c>
      <c r="J53" s="683">
        <v>0</v>
      </c>
      <c r="K53" s="684" t="s">
        <v>154</v>
      </c>
      <c r="L53" s="682" t="s">
        <v>10</v>
      </c>
      <c r="M53" s="727">
        <v>692327</v>
      </c>
      <c r="N53" s="722">
        <v>2018011000290</v>
      </c>
      <c r="O53" s="686" t="s">
        <v>2</v>
      </c>
      <c r="P53" s="686" t="s">
        <v>78</v>
      </c>
      <c r="Q53" s="683"/>
      <c r="R53" s="687"/>
      <c r="S53" s="684"/>
      <c r="T53" s="684"/>
      <c r="U53" s="684"/>
      <c r="V53" s="688"/>
      <c r="W53" s="689"/>
    </row>
    <row r="54" spans="1:23" s="613" customFormat="1" ht="24.95" customHeight="1" x14ac:dyDescent="0.25">
      <c r="A54" s="680">
        <v>82121500</v>
      </c>
      <c r="B54" s="681" t="s">
        <v>58</v>
      </c>
      <c r="C54" s="681" t="s">
        <v>162</v>
      </c>
      <c r="D54" s="681" t="s">
        <v>163</v>
      </c>
      <c r="E54" s="682" t="s">
        <v>164</v>
      </c>
      <c r="F54" s="682" t="s">
        <v>165</v>
      </c>
      <c r="G54" s="683">
        <v>2</v>
      </c>
      <c r="H54" s="683">
        <v>2</v>
      </c>
      <c r="I54" s="683">
        <v>10</v>
      </c>
      <c r="J54" s="683">
        <v>0</v>
      </c>
      <c r="K54" s="684" t="s">
        <v>154</v>
      </c>
      <c r="L54" s="682" t="s">
        <v>10</v>
      </c>
      <c r="M54" s="727">
        <v>1807673</v>
      </c>
      <c r="N54" s="722">
        <v>2018011000290</v>
      </c>
      <c r="O54" s="686" t="s">
        <v>2</v>
      </c>
      <c r="P54" s="686" t="s">
        <v>166</v>
      </c>
      <c r="Q54" s="683" t="s">
        <v>66</v>
      </c>
      <c r="R54" s="687">
        <v>0</v>
      </c>
      <c r="S54" s="684" t="s">
        <v>67</v>
      </c>
      <c r="T54" s="684" t="s">
        <v>68</v>
      </c>
      <c r="U54" s="684" t="s">
        <v>121</v>
      </c>
      <c r="V54" s="688">
        <v>3422121</v>
      </c>
      <c r="W54" s="689" t="s">
        <v>122</v>
      </c>
    </row>
    <row r="55" spans="1:23" s="613" customFormat="1" ht="24.95" customHeight="1" x14ac:dyDescent="0.25">
      <c r="A55" s="680">
        <v>82121500</v>
      </c>
      <c r="B55" s="681" t="s">
        <v>58</v>
      </c>
      <c r="C55" s="681" t="s">
        <v>162</v>
      </c>
      <c r="D55" s="681" t="s">
        <v>163</v>
      </c>
      <c r="E55" s="682" t="s">
        <v>164</v>
      </c>
      <c r="F55" s="682" t="s">
        <v>168</v>
      </c>
      <c r="G55" s="683">
        <v>1</v>
      </c>
      <c r="H55" s="683">
        <v>1</v>
      </c>
      <c r="I55" s="683">
        <v>11</v>
      </c>
      <c r="J55" s="683">
        <v>0</v>
      </c>
      <c r="K55" s="684" t="s">
        <v>154</v>
      </c>
      <c r="L55" s="682" t="s">
        <v>10</v>
      </c>
      <c r="M55" s="727">
        <v>2800000</v>
      </c>
      <c r="N55" s="722">
        <v>2018011000290</v>
      </c>
      <c r="O55" s="686" t="s">
        <v>2</v>
      </c>
      <c r="P55" s="686" t="s">
        <v>78</v>
      </c>
      <c r="Q55" s="683" t="s">
        <v>66</v>
      </c>
      <c r="R55" s="687">
        <v>0</v>
      </c>
      <c r="S55" s="684" t="s">
        <v>67</v>
      </c>
      <c r="T55" s="684" t="s">
        <v>68</v>
      </c>
      <c r="U55" s="684" t="s">
        <v>121</v>
      </c>
      <c r="V55" s="688">
        <v>3422121</v>
      </c>
      <c r="W55" s="689" t="s">
        <v>122</v>
      </c>
    </row>
    <row r="56" spans="1:23" s="613" customFormat="1" ht="24.95" customHeight="1" x14ac:dyDescent="0.25">
      <c r="A56" s="680">
        <v>78141500</v>
      </c>
      <c r="B56" s="681" t="s">
        <v>58</v>
      </c>
      <c r="C56" s="681" t="s">
        <v>162</v>
      </c>
      <c r="D56" s="681" t="s">
        <v>163</v>
      </c>
      <c r="E56" s="682" t="s">
        <v>164</v>
      </c>
      <c r="F56" s="682" t="s">
        <v>169</v>
      </c>
      <c r="G56" s="683">
        <v>1</v>
      </c>
      <c r="H56" s="683">
        <v>1</v>
      </c>
      <c r="I56" s="683">
        <v>1</v>
      </c>
      <c r="J56" s="683">
        <v>0</v>
      </c>
      <c r="K56" s="684" t="s">
        <v>83</v>
      </c>
      <c r="L56" s="682" t="s">
        <v>10</v>
      </c>
      <c r="M56" s="727">
        <v>500000</v>
      </c>
      <c r="N56" s="722">
        <v>2018011000290</v>
      </c>
      <c r="O56" s="686" t="s">
        <v>2</v>
      </c>
      <c r="P56" s="686" t="s">
        <v>78</v>
      </c>
      <c r="Q56" s="683" t="s">
        <v>66</v>
      </c>
      <c r="R56" s="687">
        <v>0</v>
      </c>
      <c r="S56" s="684" t="s">
        <v>67</v>
      </c>
      <c r="T56" s="684" t="s">
        <v>68</v>
      </c>
      <c r="U56" s="684" t="s">
        <v>121</v>
      </c>
      <c r="V56" s="688">
        <v>3422121</v>
      </c>
      <c r="W56" s="689" t="s">
        <v>122</v>
      </c>
    </row>
    <row r="57" spans="1:23" s="613" customFormat="1" ht="24.95" customHeight="1" x14ac:dyDescent="0.25">
      <c r="A57" s="680">
        <v>81101707</v>
      </c>
      <c r="B57" s="681" t="s">
        <v>58</v>
      </c>
      <c r="C57" s="681" t="s">
        <v>170</v>
      </c>
      <c r="D57" s="681" t="s">
        <v>171</v>
      </c>
      <c r="E57" s="682" t="s">
        <v>172</v>
      </c>
      <c r="F57" s="682" t="s">
        <v>173</v>
      </c>
      <c r="G57" s="683">
        <v>3</v>
      </c>
      <c r="H57" s="683">
        <v>3</v>
      </c>
      <c r="I57" s="683">
        <v>2</v>
      </c>
      <c r="J57" s="683">
        <v>15</v>
      </c>
      <c r="K57" s="684" t="s">
        <v>154</v>
      </c>
      <c r="L57" s="682" t="s">
        <v>3</v>
      </c>
      <c r="M57" s="727">
        <v>22000000</v>
      </c>
      <c r="N57" s="722">
        <v>2018011000290</v>
      </c>
      <c r="O57" s="686" t="s">
        <v>2</v>
      </c>
      <c r="P57" s="686" t="s">
        <v>78</v>
      </c>
      <c r="Q57" s="683" t="s">
        <v>66</v>
      </c>
      <c r="R57" s="687">
        <v>0</v>
      </c>
      <c r="S57" s="684" t="s">
        <v>67</v>
      </c>
      <c r="T57" s="684" t="s">
        <v>68</v>
      </c>
      <c r="U57" s="684" t="s">
        <v>174</v>
      </c>
      <c r="V57" s="688">
        <v>3422121</v>
      </c>
      <c r="W57" s="689" t="s">
        <v>175</v>
      </c>
    </row>
    <row r="58" spans="1:23" s="613" customFormat="1" ht="24.95" customHeight="1" x14ac:dyDescent="0.25">
      <c r="A58" s="680">
        <v>80131505</v>
      </c>
      <c r="B58" s="681" t="s">
        <v>58</v>
      </c>
      <c r="C58" s="681" t="s">
        <v>170</v>
      </c>
      <c r="D58" s="681" t="s">
        <v>171</v>
      </c>
      <c r="E58" s="682" t="s">
        <v>176</v>
      </c>
      <c r="F58" s="682" t="s">
        <v>177</v>
      </c>
      <c r="G58" s="683">
        <v>3</v>
      </c>
      <c r="H58" s="683">
        <v>3</v>
      </c>
      <c r="I58" s="683">
        <v>1</v>
      </c>
      <c r="J58" s="683">
        <v>0</v>
      </c>
      <c r="K58" s="684" t="s">
        <v>83</v>
      </c>
      <c r="L58" s="682" t="s">
        <v>3</v>
      </c>
      <c r="M58" s="727">
        <v>18000000</v>
      </c>
      <c r="N58" s="722">
        <v>2018011000290</v>
      </c>
      <c r="O58" s="686" t="s">
        <v>2</v>
      </c>
      <c r="P58" s="686" t="s">
        <v>78</v>
      </c>
      <c r="Q58" s="683" t="s">
        <v>66</v>
      </c>
      <c r="R58" s="687">
        <v>0</v>
      </c>
      <c r="S58" s="684" t="s">
        <v>67</v>
      </c>
      <c r="T58" s="684" t="s">
        <v>68</v>
      </c>
      <c r="U58" s="684" t="s">
        <v>174</v>
      </c>
      <c r="V58" s="688">
        <v>3422121</v>
      </c>
      <c r="W58" s="689" t="s">
        <v>175</v>
      </c>
    </row>
    <row r="59" spans="1:23" s="613" customFormat="1" ht="24.95" customHeight="1" x14ac:dyDescent="0.25">
      <c r="A59" s="680">
        <v>82111800</v>
      </c>
      <c r="B59" s="681" t="s">
        <v>58</v>
      </c>
      <c r="C59" s="681" t="s">
        <v>170</v>
      </c>
      <c r="D59" s="681" t="s">
        <v>171</v>
      </c>
      <c r="E59" s="682" t="s">
        <v>176</v>
      </c>
      <c r="F59" s="682" t="s">
        <v>179</v>
      </c>
      <c r="G59" s="683">
        <v>3</v>
      </c>
      <c r="H59" s="683">
        <v>3</v>
      </c>
      <c r="I59" s="683">
        <v>8</v>
      </c>
      <c r="J59" s="683">
        <v>0</v>
      </c>
      <c r="K59" s="684" t="s">
        <v>83</v>
      </c>
      <c r="L59" s="682" t="s">
        <v>10</v>
      </c>
      <c r="M59" s="727">
        <v>1500000</v>
      </c>
      <c r="N59" s="722">
        <v>2018011000290</v>
      </c>
      <c r="O59" s="686" t="s">
        <v>2</v>
      </c>
      <c r="P59" s="686" t="s">
        <v>78</v>
      </c>
      <c r="Q59" s="683" t="s">
        <v>66</v>
      </c>
      <c r="R59" s="687">
        <v>0</v>
      </c>
      <c r="S59" s="684" t="s">
        <v>67</v>
      </c>
      <c r="T59" s="684" t="s">
        <v>68</v>
      </c>
      <c r="U59" s="684" t="s">
        <v>121</v>
      </c>
      <c r="V59" s="688">
        <v>3422121</v>
      </c>
      <c r="W59" s="689" t="s">
        <v>175</v>
      </c>
    </row>
    <row r="60" spans="1:23" s="613" customFormat="1" ht="24.95" customHeight="1" x14ac:dyDescent="0.25">
      <c r="A60" s="680" t="s">
        <v>180</v>
      </c>
      <c r="B60" s="681" t="s">
        <v>58</v>
      </c>
      <c r="C60" s="681" t="s">
        <v>170</v>
      </c>
      <c r="D60" s="681" t="s">
        <v>171</v>
      </c>
      <c r="E60" s="682" t="s">
        <v>176</v>
      </c>
      <c r="F60" s="682" t="s">
        <v>181</v>
      </c>
      <c r="G60" s="683">
        <v>1</v>
      </c>
      <c r="H60" s="683">
        <v>1</v>
      </c>
      <c r="I60" s="683">
        <v>3</v>
      </c>
      <c r="J60" s="683">
        <v>0</v>
      </c>
      <c r="K60" s="684" t="s">
        <v>83</v>
      </c>
      <c r="L60" s="682" t="s">
        <v>3</v>
      </c>
      <c r="M60" s="727">
        <v>6600000</v>
      </c>
      <c r="N60" s="722">
        <v>2018011000290</v>
      </c>
      <c r="O60" s="686" t="s">
        <v>2</v>
      </c>
      <c r="P60" s="686" t="s">
        <v>78</v>
      </c>
      <c r="Q60" s="683" t="s">
        <v>66</v>
      </c>
      <c r="R60" s="687">
        <v>0</v>
      </c>
      <c r="S60" s="684" t="s">
        <v>67</v>
      </c>
      <c r="T60" s="684" t="s">
        <v>68</v>
      </c>
      <c r="U60" s="684" t="s">
        <v>174</v>
      </c>
      <c r="V60" s="688">
        <v>3422121</v>
      </c>
      <c r="W60" s="689" t="s">
        <v>175</v>
      </c>
    </row>
    <row r="61" spans="1:23" s="613" customFormat="1" ht="24.95" customHeight="1" x14ac:dyDescent="0.25">
      <c r="A61" s="680">
        <v>93141708</v>
      </c>
      <c r="B61" s="681" t="s">
        <v>58</v>
      </c>
      <c r="C61" s="681" t="s">
        <v>182</v>
      </c>
      <c r="D61" s="681" t="s">
        <v>171</v>
      </c>
      <c r="E61" s="682" t="s">
        <v>183</v>
      </c>
      <c r="F61" s="682" t="s">
        <v>184</v>
      </c>
      <c r="G61" s="683">
        <v>4</v>
      </c>
      <c r="H61" s="683">
        <v>4</v>
      </c>
      <c r="I61" s="683">
        <v>1</v>
      </c>
      <c r="J61" s="683">
        <v>0</v>
      </c>
      <c r="K61" s="684" t="s">
        <v>83</v>
      </c>
      <c r="L61" s="682" t="s">
        <v>10</v>
      </c>
      <c r="M61" s="727">
        <v>3693867</v>
      </c>
      <c r="N61" s="722">
        <v>2018011000284</v>
      </c>
      <c r="O61" s="686" t="s">
        <v>11</v>
      </c>
      <c r="P61" s="686" t="s">
        <v>185</v>
      </c>
      <c r="Q61" s="683" t="s">
        <v>66</v>
      </c>
      <c r="R61" s="687">
        <v>0</v>
      </c>
      <c r="S61" s="684" t="s">
        <v>67</v>
      </c>
      <c r="T61" s="684" t="s">
        <v>68</v>
      </c>
      <c r="U61" s="684" t="s">
        <v>121</v>
      </c>
      <c r="V61" s="688">
        <v>3422121</v>
      </c>
      <c r="W61" s="689" t="s">
        <v>122</v>
      </c>
    </row>
    <row r="62" spans="1:23" s="613" customFormat="1" ht="24.95" customHeight="1" x14ac:dyDescent="0.25">
      <c r="A62" s="680">
        <v>93141708</v>
      </c>
      <c r="B62" s="681" t="s">
        <v>58</v>
      </c>
      <c r="C62" s="681" t="s">
        <v>182</v>
      </c>
      <c r="D62" s="681" t="s">
        <v>171</v>
      </c>
      <c r="E62" s="682" t="s">
        <v>183</v>
      </c>
      <c r="F62" s="682" t="s">
        <v>187</v>
      </c>
      <c r="G62" s="683">
        <v>9</v>
      </c>
      <c r="H62" s="683">
        <v>9</v>
      </c>
      <c r="I62" s="683">
        <v>1</v>
      </c>
      <c r="J62" s="683">
        <v>0</v>
      </c>
      <c r="K62" s="684" t="s">
        <v>83</v>
      </c>
      <c r="L62" s="682" t="s">
        <v>10</v>
      </c>
      <c r="M62" s="727">
        <v>1290040</v>
      </c>
      <c r="N62" s="722">
        <v>2018011000290</v>
      </c>
      <c r="O62" s="686" t="s">
        <v>2</v>
      </c>
      <c r="P62" s="686" t="s">
        <v>188</v>
      </c>
      <c r="Q62" s="683" t="s">
        <v>66</v>
      </c>
      <c r="R62" s="687">
        <v>0</v>
      </c>
      <c r="S62" s="684" t="s">
        <v>67</v>
      </c>
      <c r="T62" s="684" t="s">
        <v>68</v>
      </c>
      <c r="U62" s="684" t="s">
        <v>121</v>
      </c>
      <c r="V62" s="688">
        <v>3422121</v>
      </c>
      <c r="W62" s="689" t="s">
        <v>122</v>
      </c>
    </row>
    <row r="63" spans="1:23" s="613" customFormat="1" ht="24.95" customHeight="1" x14ac:dyDescent="0.25">
      <c r="A63" s="680">
        <v>86101600</v>
      </c>
      <c r="B63" s="681" t="s">
        <v>58</v>
      </c>
      <c r="C63" s="681" t="s">
        <v>182</v>
      </c>
      <c r="D63" s="681" t="s">
        <v>171</v>
      </c>
      <c r="E63" s="682" t="s">
        <v>183</v>
      </c>
      <c r="F63" s="682" t="s">
        <v>190</v>
      </c>
      <c r="G63" s="683">
        <v>7</v>
      </c>
      <c r="H63" s="683">
        <v>7</v>
      </c>
      <c r="I63" s="683">
        <v>3</v>
      </c>
      <c r="J63" s="683">
        <v>0</v>
      </c>
      <c r="K63" s="684" t="s">
        <v>83</v>
      </c>
      <c r="L63" s="682" t="s">
        <v>3</v>
      </c>
      <c r="M63" s="727">
        <v>2993983</v>
      </c>
      <c r="N63" s="722">
        <v>2018011000290</v>
      </c>
      <c r="O63" s="686" t="s">
        <v>2</v>
      </c>
      <c r="P63" s="686" t="s">
        <v>78</v>
      </c>
      <c r="Q63" s="683" t="s">
        <v>66</v>
      </c>
      <c r="R63" s="687">
        <v>0</v>
      </c>
      <c r="S63" s="684" t="s">
        <v>67</v>
      </c>
      <c r="T63" s="684" t="s">
        <v>68</v>
      </c>
      <c r="U63" s="684" t="s">
        <v>191</v>
      </c>
      <c r="V63" s="688">
        <v>3422121</v>
      </c>
      <c r="W63" s="689" t="s">
        <v>122</v>
      </c>
    </row>
    <row r="64" spans="1:23" s="613" customFormat="1" ht="24.95" customHeight="1" x14ac:dyDescent="0.25">
      <c r="A64" s="680">
        <v>86101600</v>
      </c>
      <c r="B64" s="681" t="s">
        <v>58</v>
      </c>
      <c r="C64" s="681" t="s">
        <v>182</v>
      </c>
      <c r="D64" s="681" t="s">
        <v>171</v>
      </c>
      <c r="E64" s="682" t="s">
        <v>183</v>
      </c>
      <c r="F64" s="682" t="s">
        <v>190</v>
      </c>
      <c r="G64" s="683">
        <v>7</v>
      </c>
      <c r="H64" s="683">
        <v>7</v>
      </c>
      <c r="I64" s="683">
        <v>3</v>
      </c>
      <c r="J64" s="683">
        <v>0</v>
      </c>
      <c r="K64" s="684" t="s">
        <v>83</v>
      </c>
      <c r="L64" s="682" t="s">
        <v>3</v>
      </c>
      <c r="M64" s="727">
        <v>3006018</v>
      </c>
      <c r="N64" s="722">
        <v>2018011000290</v>
      </c>
      <c r="O64" s="686" t="s">
        <v>2</v>
      </c>
      <c r="P64" s="686" t="s">
        <v>78</v>
      </c>
      <c r="Q64" s="683" t="s">
        <v>66</v>
      </c>
      <c r="R64" s="687">
        <v>0</v>
      </c>
      <c r="S64" s="684" t="s">
        <v>67</v>
      </c>
      <c r="T64" s="684" t="s">
        <v>68</v>
      </c>
      <c r="U64" s="684" t="s">
        <v>191</v>
      </c>
      <c r="V64" s="688">
        <v>3422121</v>
      </c>
      <c r="W64" s="689" t="s">
        <v>122</v>
      </c>
    </row>
    <row r="65" spans="1:23" s="613" customFormat="1" ht="24.95" customHeight="1" x14ac:dyDescent="0.25">
      <c r="A65" s="680">
        <v>93141708</v>
      </c>
      <c r="B65" s="681" t="s">
        <v>58</v>
      </c>
      <c r="C65" s="681" t="s">
        <v>182</v>
      </c>
      <c r="D65" s="681" t="s">
        <v>171</v>
      </c>
      <c r="E65" s="682" t="s">
        <v>183</v>
      </c>
      <c r="F65" s="682" t="s">
        <v>192</v>
      </c>
      <c r="G65" s="683">
        <v>3</v>
      </c>
      <c r="H65" s="683">
        <v>3</v>
      </c>
      <c r="I65" s="683">
        <v>6</v>
      </c>
      <c r="J65" s="683">
        <v>0</v>
      </c>
      <c r="K65" s="684" t="s">
        <v>83</v>
      </c>
      <c r="L65" s="682" t="s">
        <v>3</v>
      </c>
      <c r="M65" s="727">
        <v>5600000</v>
      </c>
      <c r="N65" s="722">
        <v>2018011000284</v>
      </c>
      <c r="O65" s="686" t="s">
        <v>11</v>
      </c>
      <c r="P65" s="686" t="s">
        <v>185</v>
      </c>
      <c r="Q65" s="683" t="s">
        <v>66</v>
      </c>
      <c r="R65" s="687">
        <v>0</v>
      </c>
      <c r="S65" s="684" t="s">
        <v>67</v>
      </c>
      <c r="T65" s="684" t="s">
        <v>68</v>
      </c>
      <c r="U65" s="684" t="s">
        <v>191</v>
      </c>
      <c r="V65" s="688">
        <v>3422121</v>
      </c>
      <c r="W65" s="689" t="s">
        <v>122</v>
      </c>
    </row>
    <row r="66" spans="1:23" s="613" customFormat="1" ht="24.95" customHeight="1" x14ac:dyDescent="0.25">
      <c r="A66" s="680">
        <v>93141708</v>
      </c>
      <c r="B66" s="681" t="s">
        <v>58</v>
      </c>
      <c r="C66" s="681" t="s">
        <v>182</v>
      </c>
      <c r="D66" s="681" t="s">
        <v>171</v>
      </c>
      <c r="E66" s="682" t="s">
        <v>183</v>
      </c>
      <c r="F66" s="682" t="s">
        <v>193</v>
      </c>
      <c r="G66" s="683">
        <v>1</v>
      </c>
      <c r="H66" s="683">
        <v>1</v>
      </c>
      <c r="I66" s="683">
        <v>2</v>
      </c>
      <c r="J66" s="683">
        <v>0</v>
      </c>
      <c r="K66" s="684" t="s">
        <v>83</v>
      </c>
      <c r="L66" s="682" t="s">
        <v>3</v>
      </c>
      <c r="M66" s="727">
        <v>20000000</v>
      </c>
      <c r="N66" s="722">
        <v>2018011000290</v>
      </c>
      <c r="O66" s="686" t="s">
        <v>2</v>
      </c>
      <c r="P66" s="686" t="s">
        <v>188</v>
      </c>
      <c r="Q66" s="683" t="s">
        <v>66</v>
      </c>
      <c r="R66" s="687">
        <v>0</v>
      </c>
      <c r="S66" s="684" t="s">
        <v>67</v>
      </c>
      <c r="T66" s="684" t="s">
        <v>68</v>
      </c>
      <c r="U66" s="684" t="s">
        <v>191</v>
      </c>
      <c r="V66" s="688">
        <v>3422121</v>
      </c>
      <c r="W66" s="689" t="s">
        <v>122</v>
      </c>
    </row>
    <row r="67" spans="1:23" s="613" customFormat="1" ht="24.95" customHeight="1" x14ac:dyDescent="0.25">
      <c r="A67" s="680" t="s">
        <v>195</v>
      </c>
      <c r="B67" s="681" t="s">
        <v>58</v>
      </c>
      <c r="C67" s="681" t="s">
        <v>182</v>
      </c>
      <c r="D67" s="681" t="s">
        <v>171</v>
      </c>
      <c r="E67" s="682" t="s">
        <v>183</v>
      </c>
      <c r="F67" s="682" t="s">
        <v>196</v>
      </c>
      <c r="G67" s="683">
        <v>1</v>
      </c>
      <c r="H67" s="683">
        <v>1</v>
      </c>
      <c r="I67" s="683">
        <v>10</v>
      </c>
      <c r="J67" s="683">
        <v>15</v>
      </c>
      <c r="K67" s="684" t="s">
        <v>83</v>
      </c>
      <c r="L67" s="682" t="s">
        <v>3</v>
      </c>
      <c r="M67" s="727">
        <v>12214204</v>
      </c>
      <c r="N67" s="722">
        <v>2018011000290</v>
      </c>
      <c r="O67" s="686" t="s">
        <v>2</v>
      </c>
      <c r="P67" s="686" t="s">
        <v>188</v>
      </c>
      <c r="Q67" s="683" t="s">
        <v>66</v>
      </c>
      <c r="R67" s="687">
        <v>0</v>
      </c>
      <c r="S67" s="684" t="s">
        <v>67</v>
      </c>
      <c r="T67" s="684" t="s">
        <v>68</v>
      </c>
      <c r="U67" s="684" t="s">
        <v>191</v>
      </c>
      <c r="V67" s="688">
        <v>3422121</v>
      </c>
      <c r="W67" s="689" t="s">
        <v>122</v>
      </c>
    </row>
    <row r="68" spans="1:23" s="613" customFormat="1" ht="24.95" customHeight="1" x14ac:dyDescent="0.25">
      <c r="A68" s="680" t="s">
        <v>195</v>
      </c>
      <c r="B68" s="681" t="s">
        <v>58</v>
      </c>
      <c r="C68" s="681" t="s">
        <v>182</v>
      </c>
      <c r="D68" s="681" t="s">
        <v>171</v>
      </c>
      <c r="E68" s="682" t="s">
        <v>183</v>
      </c>
      <c r="F68" s="682" t="s">
        <v>196</v>
      </c>
      <c r="G68" s="683">
        <v>1</v>
      </c>
      <c r="H68" s="683">
        <v>1</v>
      </c>
      <c r="I68" s="683">
        <v>10</v>
      </c>
      <c r="J68" s="683">
        <v>15</v>
      </c>
      <c r="K68" s="684" t="s">
        <v>83</v>
      </c>
      <c r="L68" s="682" t="s">
        <v>3</v>
      </c>
      <c r="M68" s="727">
        <v>0</v>
      </c>
      <c r="N68" s="722">
        <v>2018011000290</v>
      </c>
      <c r="O68" s="686" t="s">
        <v>2</v>
      </c>
      <c r="P68" s="686" t="s">
        <v>166</v>
      </c>
      <c r="Q68" s="683" t="s">
        <v>66</v>
      </c>
      <c r="R68" s="687">
        <v>1</v>
      </c>
      <c r="S68" s="684" t="s">
        <v>67</v>
      </c>
      <c r="T68" s="684" t="s">
        <v>68</v>
      </c>
      <c r="U68" s="684" t="s">
        <v>191</v>
      </c>
      <c r="V68" s="688">
        <v>3422121</v>
      </c>
      <c r="W68" s="689" t="s">
        <v>122</v>
      </c>
    </row>
    <row r="69" spans="1:23" s="613" customFormat="1" ht="24.95" customHeight="1" x14ac:dyDescent="0.25">
      <c r="A69" s="680">
        <v>86101700</v>
      </c>
      <c r="B69" s="681" t="s">
        <v>58</v>
      </c>
      <c r="C69" s="681" t="s">
        <v>198</v>
      </c>
      <c r="D69" s="681" t="s">
        <v>60</v>
      </c>
      <c r="E69" s="682" t="s">
        <v>198</v>
      </c>
      <c r="F69" s="682" t="s">
        <v>199</v>
      </c>
      <c r="G69" s="683">
        <v>2</v>
      </c>
      <c r="H69" s="683">
        <v>2</v>
      </c>
      <c r="I69" s="683">
        <v>1</v>
      </c>
      <c r="J69" s="683">
        <v>0</v>
      </c>
      <c r="K69" s="684" t="s">
        <v>200</v>
      </c>
      <c r="L69" s="682" t="s">
        <v>3</v>
      </c>
      <c r="M69" s="727">
        <v>7000000</v>
      </c>
      <c r="N69" s="722">
        <v>2018011000290</v>
      </c>
      <c r="O69" s="686" t="s">
        <v>2</v>
      </c>
      <c r="P69" s="686" t="s">
        <v>78</v>
      </c>
      <c r="Q69" s="683" t="s">
        <v>66</v>
      </c>
      <c r="R69" s="687">
        <v>0</v>
      </c>
      <c r="S69" s="684" t="s">
        <v>67</v>
      </c>
      <c r="T69" s="684" t="s">
        <v>68</v>
      </c>
      <c r="U69" s="684" t="s">
        <v>121</v>
      </c>
      <c r="V69" s="688">
        <v>3422121</v>
      </c>
      <c r="W69" s="689" t="s">
        <v>122</v>
      </c>
    </row>
    <row r="70" spans="1:23" s="613" customFormat="1" ht="24.95" customHeight="1" x14ac:dyDescent="0.25">
      <c r="A70" s="680">
        <v>86101700</v>
      </c>
      <c r="B70" s="681" t="s">
        <v>58</v>
      </c>
      <c r="C70" s="681" t="s">
        <v>198</v>
      </c>
      <c r="D70" s="681" t="s">
        <v>60</v>
      </c>
      <c r="E70" s="682" t="s">
        <v>198</v>
      </c>
      <c r="F70" s="682" t="s">
        <v>201</v>
      </c>
      <c r="G70" s="683">
        <v>3</v>
      </c>
      <c r="H70" s="683">
        <v>3</v>
      </c>
      <c r="I70" s="683">
        <v>9</v>
      </c>
      <c r="J70" s="683">
        <v>0</v>
      </c>
      <c r="K70" s="684" t="s">
        <v>200</v>
      </c>
      <c r="L70" s="682" t="s">
        <v>3</v>
      </c>
      <c r="M70" s="727">
        <v>9000000</v>
      </c>
      <c r="N70" s="722">
        <v>2018011000290</v>
      </c>
      <c r="O70" s="686" t="s">
        <v>2</v>
      </c>
      <c r="P70" s="686" t="s">
        <v>78</v>
      </c>
      <c r="Q70" s="683" t="s">
        <v>66</v>
      </c>
      <c r="R70" s="687">
        <v>0</v>
      </c>
      <c r="S70" s="684" t="s">
        <v>67</v>
      </c>
      <c r="T70" s="684" t="s">
        <v>68</v>
      </c>
      <c r="U70" s="684" t="s">
        <v>121</v>
      </c>
      <c r="V70" s="688">
        <v>3422121</v>
      </c>
      <c r="W70" s="689" t="s">
        <v>122</v>
      </c>
    </row>
    <row r="71" spans="1:23" s="613" customFormat="1" ht="24.95" customHeight="1" x14ac:dyDescent="0.25">
      <c r="A71" s="680">
        <v>86101700</v>
      </c>
      <c r="B71" s="681" t="s">
        <v>58</v>
      </c>
      <c r="C71" s="681" t="s">
        <v>198</v>
      </c>
      <c r="D71" s="681" t="s">
        <v>60</v>
      </c>
      <c r="E71" s="682" t="s">
        <v>198</v>
      </c>
      <c r="F71" s="682" t="s">
        <v>202</v>
      </c>
      <c r="G71" s="683">
        <v>3</v>
      </c>
      <c r="H71" s="683">
        <v>3</v>
      </c>
      <c r="I71" s="683">
        <v>9</v>
      </c>
      <c r="J71" s="683">
        <v>0</v>
      </c>
      <c r="K71" s="684" t="s">
        <v>200</v>
      </c>
      <c r="L71" s="682" t="s">
        <v>3</v>
      </c>
      <c r="M71" s="727">
        <v>0</v>
      </c>
      <c r="N71" s="722">
        <v>2018011000290</v>
      </c>
      <c r="O71" s="686" t="s">
        <v>2</v>
      </c>
      <c r="P71" s="686" t="s">
        <v>78</v>
      </c>
      <c r="Q71" s="683" t="s">
        <v>66</v>
      </c>
      <c r="R71" s="687">
        <v>0</v>
      </c>
      <c r="S71" s="684" t="s">
        <v>67</v>
      </c>
      <c r="T71" s="684" t="s">
        <v>68</v>
      </c>
      <c r="U71" s="684" t="s">
        <v>121</v>
      </c>
      <c r="V71" s="688">
        <v>3422121</v>
      </c>
      <c r="W71" s="689" t="s">
        <v>122</v>
      </c>
    </row>
    <row r="72" spans="1:23" s="613" customFormat="1" ht="24.95" customHeight="1" x14ac:dyDescent="0.25">
      <c r="A72" s="680">
        <v>93151501</v>
      </c>
      <c r="B72" s="681" t="s">
        <v>58</v>
      </c>
      <c r="C72" s="681" t="s">
        <v>198</v>
      </c>
      <c r="D72" s="681" t="s">
        <v>203</v>
      </c>
      <c r="E72" s="682" t="s">
        <v>198</v>
      </c>
      <c r="F72" s="682" t="s">
        <v>204</v>
      </c>
      <c r="G72" s="683">
        <v>1</v>
      </c>
      <c r="H72" s="683">
        <v>1</v>
      </c>
      <c r="I72" s="683">
        <v>11</v>
      </c>
      <c r="J72" s="683">
        <v>15</v>
      </c>
      <c r="K72" s="684" t="s">
        <v>83</v>
      </c>
      <c r="L72" s="682" t="s">
        <v>3</v>
      </c>
      <c r="M72" s="727">
        <v>71069692</v>
      </c>
      <c r="N72" s="722">
        <v>2018011000284</v>
      </c>
      <c r="O72" s="686" t="s">
        <v>11</v>
      </c>
      <c r="P72" s="686" t="s">
        <v>205</v>
      </c>
      <c r="Q72" s="683" t="s">
        <v>66</v>
      </c>
      <c r="R72" s="687">
        <v>0</v>
      </c>
      <c r="S72" s="684" t="s">
        <v>67</v>
      </c>
      <c r="T72" s="684" t="s">
        <v>68</v>
      </c>
      <c r="U72" s="684" t="s">
        <v>121</v>
      </c>
      <c r="V72" s="688">
        <v>3422121</v>
      </c>
      <c r="W72" s="689" t="s">
        <v>122</v>
      </c>
    </row>
    <row r="73" spans="1:23" s="613" customFormat="1" ht="24.95" customHeight="1" x14ac:dyDescent="0.25">
      <c r="A73" s="680">
        <v>0</v>
      </c>
      <c r="B73" s="681" t="s">
        <v>58</v>
      </c>
      <c r="C73" s="681" t="s">
        <v>198</v>
      </c>
      <c r="D73" s="681" t="s">
        <v>60</v>
      </c>
      <c r="E73" s="682" t="s">
        <v>207</v>
      </c>
      <c r="F73" s="682" t="s">
        <v>208</v>
      </c>
      <c r="G73" s="683">
        <v>4</v>
      </c>
      <c r="H73" s="683">
        <v>4</v>
      </c>
      <c r="I73" s="683">
        <v>9</v>
      </c>
      <c r="J73" s="683">
        <v>0</v>
      </c>
      <c r="K73" s="684" t="s">
        <v>83</v>
      </c>
      <c r="L73" s="682" t="s">
        <v>3</v>
      </c>
      <c r="M73" s="727">
        <v>44000000</v>
      </c>
      <c r="N73" s="722">
        <v>2018011000290</v>
      </c>
      <c r="O73" s="686" t="s">
        <v>2</v>
      </c>
      <c r="P73" s="686" t="s">
        <v>209</v>
      </c>
      <c r="Q73" s="683" t="s">
        <v>210</v>
      </c>
      <c r="R73" s="687">
        <v>44000000</v>
      </c>
      <c r="S73" s="684" t="s">
        <v>211</v>
      </c>
      <c r="T73" s="684" t="s">
        <v>68</v>
      </c>
      <c r="U73" s="684" t="s">
        <v>121</v>
      </c>
      <c r="V73" s="688">
        <v>3422121</v>
      </c>
      <c r="W73" s="689" t="s">
        <v>122</v>
      </c>
    </row>
    <row r="74" spans="1:23" s="613" customFormat="1" ht="24.95" customHeight="1" x14ac:dyDescent="0.25">
      <c r="A74" s="680">
        <v>80111621</v>
      </c>
      <c r="B74" s="681" t="s">
        <v>58</v>
      </c>
      <c r="C74" s="681" t="s">
        <v>198</v>
      </c>
      <c r="D74" s="681" t="s">
        <v>94</v>
      </c>
      <c r="E74" s="682" t="s">
        <v>94</v>
      </c>
      <c r="F74" s="682" t="s">
        <v>212</v>
      </c>
      <c r="G74" s="683">
        <v>1</v>
      </c>
      <c r="H74" s="683">
        <v>1</v>
      </c>
      <c r="I74" s="683">
        <v>10</v>
      </c>
      <c r="J74" s="683">
        <v>0</v>
      </c>
      <c r="K74" s="684" t="s">
        <v>83</v>
      </c>
      <c r="L74" s="682" t="s">
        <v>3</v>
      </c>
      <c r="M74" s="727">
        <v>55697250</v>
      </c>
      <c r="N74" s="722">
        <v>2018011000290</v>
      </c>
      <c r="O74" s="686" t="s">
        <v>2</v>
      </c>
      <c r="P74" s="686" t="s">
        <v>97</v>
      </c>
      <c r="Q74" s="683"/>
      <c r="R74" s="687"/>
      <c r="S74" s="684"/>
      <c r="T74" s="684"/>
      <c r="U74" s="684" t="s">
        <v>99</v>
      </c>
      <c r="V74" s="688"/>
      <c r="W74" s="689"/>
    </row>
    <row r="75" spans="1:23" s="613" customFormat="1" ht="24.95" customHeight="1" x14ac:dyDescent="0.25">
      <c r="A75" s="680">
        <v>80111621</v>
      </c>
      <c r="B75" s="681" t="s">
        <v>58</v>
      </c>
      <c r="C75" s="681" t="s">
        <v>198</v>
      </c>
      <c r="D75" s="681" t="s">
        <v>203</v>
      </c>
      <c r="E75" s="682" t="s">
        <v>94</v>
      </c>
      <c r="F75" s="682" t="s">
        <v>213</v>
      </c>
      <c r="G75" s="683">
        <v>1</v>
      </c>
      <c r="H75" s="683">
        <v>1</v>
      </c>
      <c r="I75" s="683">
        <v>6</v>
      </c>
      <c r="J75" s="683">
        <v>0</v>
      </c>
      <c r="K75" s="684" t="s">
        <v>83</v>
      </c>
      <c r="L75" s="682" t="s">
        <v>3</v>
      </c>
      <c r="M75" s="727">
        <v>14400000</v>
      </c>
      <c r="N75" s="722">
        <v>2018011000290</v>
      </c>
      <c r="O75" s="686" t="s">
        <v>2</v>
      </c>
      <c r="P75" s="686" t="s">
        <v>97</v>
      </c>
      <c r="Q75" s="683"/>
      <c r="R75" s="687"/>
      <c r="S75" s="684"/>
      <c r="T75" s="684"/>
      <c r="U75" s="684" t="s">
        <v>214</v>
      </c>
      <c r="V75" s="688"/>
      <c r="W75" s="689"/>
    </row>
    <row r="76" spans="1:23" s="613" customFormat="1" ht="24.95" customHeight="1" x14ac:dyDescent="0.25">
      <c r="A76" s="680">
        <v>80111621</v>
      </c>
      <c r="B76" s="681" t="s">
        <v>58</v>
      </c>
      <c r="C76" s="681" t="s">
        <v>198</v>
      </c>
      <c r="D76" s="681" t="s">
        <v>94</v>
      </c>
      <c r="E76" s="682" t="s">
        <v>215</v>
      </c>
      <c r="F76" s="682" t="s">
        <v>216</v>
      </c>
      <c r="G76" s="683">
        <v>6</v>
      </c>
      <c r="H76" s="683">
        <v>6</v>
      </c>
      <c r="I76" s="683">
        <v>1</v>
      </c>
      <c r="J76" s="683">
        <v>0</v>
      </c>
      <c r="K76" s="684" t="s">
        <v>83</v>
      </c>
      <c r="L76" s="682" t="s">
        <v>3</v>
      </c>
      <c r="M76" s="727">
        <v>17902750</v>
      </c>
      <c r="N76" s="722">
        <v>2018011000290</v>
      </c>
      <c r="O76" s="686" t="s">
        <v>2</v>
      </c>
      <c r="P76" s="686" t="s">
        <v>97</v>
      </c>
      <c r="Q76" s="683"/>
      <c r="R76" s="687"/>
      <c r="S76" s="684"/>
      <c r="T76" s="684"/>
      <c r="U76" s="684" t="s">
        <v>109</v>
      </c>
      <c r="V76" s="688"/>
      <c r="W76" s="689"/>
    </row>
    <row r="77" spans="1:23" s="613" customFormat="1" ht="24.95" customHeight="1" x14ac:dyDescent="0.25">
      <c r="A77" s="680">
        <v>78141500</v>
      </c>
      <c r="B77" s="681" t="s">
        <v>58</v>
      </c>
      <c r="C77" s="681" t="s">
        <v>198</v>
      </c>
      <c r="D77" s="681" t="s">
        <v>60</v>
      </c>
      <c r="E77" s="682" t="s">
        <v>198</v>
      </c>
      <c r="F77" s="682" t="s">
        <v>217</v>
      </c>
      <c r="G77" s="683">
        <v>5</v>
      </c>
      <c r="H77" s="683">
        <v>5</v>
      </c>
      <c r="I77" s="683">
        <v>5</v>
      </c>
      <c r="J77" s="683">
        <v>0</v>
      </c>
      <c r="K77" s="684" t="s">
        <v>83</v>
      </c>
      <c r="L77" s="682" t="s">
        <v>10</v>
      </c>
      <c r="M77" s="727">
        <v>8000000</v>
      </c>
      <c r="N77" s="722">
        <v>2018011000290</v>
      </c>
      <c r="O77" s="686" t="s">
        <v>2</v>
      </c>
      <c r="P77" s="686" t="s">
        <v>78</v>
      </c>
      <c r="Q77" s="683" t="s">
        <v>66</v>
      </c>
      <c r="R77" s="687">
        <v>0</v>
      </c>
      <c r="S77" s="684" t="s">
        <v>67</v>
      </c>
      <c r="T77" s="684" t="s">
        <v>68</v>
      </c>
      <c r="U77" s="684" t="s">
        <v>121</v>
      </c>
      <c r="V77" s="688">
        <v>3422121</v>
      </c>
      <c r="W77" s="689" t="s">
        <v>122</v>
      </c>
    </row>
    <row r="78" spans="1:23" s="613" customFormat="1" ht="24.95" customHeight="1" x14ac:dyDescent="0.25">
      <c r="A78" s="680">
        <v>86101700</v>
      </c>
      <c r="B78" s="681" t="s">
        <v>58</v>
      </c>
      <c r="C78" s="681" t="s">
        <v>198</v>
      </c>
      <c r="D78" s="681" t="s">
        <v>60</v>
      </c>
      <c r="E78" s="682" t="s">
        <v>198</v>
      </c>
      <c r="F78" s="682" t="s">
        <v>218</v>
      </c>
      <c r="G78" s="683">
        <v>4</v>
      </c>
      <c r="H78" s="683">
        <v>4</v>
      </c>
      <c r="I78" s="683">
        <v>1</v>
      </c>
      <c r="J78" s="683">
        <v>0</v>
      </c>
      <c r="K78" s="684" t="s">
        <v>83</v>
      </c>
      <c r="L78" s="682" t="s">
        <v>3</v>
      </c>
      <c r="M78" s="727">
        <v>25000000</v>
      </c>
      <c r="N78" s="722">
        <v>2018011000290</v>
      </c>
      <c r="O78" s="686" t="s">
        <v>2</v>
      </c>
      <c r="P78" s="686" t="s">
        <v>78</v>
      </c>
      <c r="Q78" s="683" t="s">
        <v>66</v>
      </c>
      <c r="R78" s="687">
        <v>0</v>
      </c>
      <c r="S78" s="684" t="s">
        <v>67</v>
      </c>
      <c r="T78" s="684" t="s">
        <v>68</v>
      </c>
      <c r="U78" s="684" t="s">
        <v>121</v>
      </c>
      <c r="V78" s="688">
        <v>3422121</v>
      </c>
      <c r="W78" s="689" t="s">
        <v>122</v>
      </c>
    </row>
    <row r="79" spans="1:23" s="613" customFormat="1" ht="24.95" customHeight="1" x14ac:dyDescent="0.25">
      <c r="A79" s="680">
        <v>86101700</v>
      </c>
      <c r="B79" s="681" t="s">
        <v>58</v>
      </c>
      <c r="C79" s="681" t="s">
        <v>198</v>
      </c>
      <c r="D79" s="681" t="s">
        <v>60</v>
      </c>
      <c r="E79" s="682" t="s">
        <v>198</v>
      </c>
      <c r="F79" s="682" t="s">
        <v>219</v>
      </c>
      <c r="G79" s="683">
        <v>1</v>
      </c>
      <c r="H79" s="683">
        <v>1</v>
      </c>
      <c r="I79" s="683">
        <v>5</v>
      </c>
      <c r="J79" s="683">
        <v>0</v>
      </c>
      <c r="K79" s="684" t="s">
        <v>83</v>
      </c>
      <c r="L79" s="682" t="s">
        <v>3</v>
      </c>
      <c r="M79" s="727">
        <v>25000000</v>
      </c>
      <c r="N79" s="722">
        <v>2018011000290</v>
      </c>
      <c r="O79" s="686" t="s">
        <v>2</v>
      </c>
      <c r="P79" s="686" t="s">
        <v>97</v>
      </c>
      <c r="Q79" s="683" t="s">
        <v>66</v>
      </c>
      <c r="R79" s="687">
        <v>0</v>
      </c>
      <c r="S79" s="684" t="s">
        <v>67</v>
      </c>
      <c r="T79" s="684" t="s">
        <v>68</v>
      </c>
      <c r="U79" s="684" t="s">
        <v>121</v>
      </c>
      <c r="V79" s="688">
        <v>3422121</v>
      </c>
      <c r="W79" s="689" t="s">
        <v>122</v>
      </c>
    </row>
    <row r="80" spans="1:23" s="613" customFormat="1" ht="24.95" customHeight="1" x14ac:dyDescent="0.25">
      <c r="A80" s="680">
        <v>80111621</v>
      </c>
      <c r="B80" s="681" t="s">
        <v>58</v>
      </c>
      <c r="C80" s="681" t="s">
        <v>198</v>
      </c>
      <c r="D80" s="681" t="s">
        <v>60</v>
      </c>
      <c r="E80" s="682" t="s">
        <v>220</v>
      </c>
      <c r="F80" s="682" t="s">
        <v>221</v>
      </c>
      <c r="G80" s="683">
        <v>1</v>
      </c>
      <c r="H80" s="683">
        <v>1</v>
      </c>
      <c r="I80" s="683">
        <v>10</v>
      </c>
      <c r="J80" s="683">
        <v>0</v>
      </c>
      <c r="K80" s="684" t="s">
        <v>83</v>
      </c>
      <c r="L80" s="682" t="s">
        <v>3</v>
      </c>
      <c r="M80" s="727">
        <v>19096200</v>
      </c>
      <c r="N80" s="722">
        <v>2018011000290</v>
      </c>
      <c r="O80" s="686" t="s">
        <v>2</v>
      </c>
      <c r="P80" s="686" t="s">
        <v>97</v>
      </c>
      <c r="Q80" s="683" t="s">
        <v>66</v>
      </c>
      <c r="R80" s="687">
        <v>0</v>
      </c>
      <c r="S80" s="684" t="s">
        <v>67</v>
      </c>
      <c r="T80" s="684" t="s">
        <v>68</v>
      </c>
      <c r="U80" s="684" t="s">
        <v>121</v>
      </c>
      <c r="V80" s="688">
        <v>3422121</v>
      </c>
      <c r="W80" s="689" t="s">
        <v>122</v>
      </c>
    </row>
    <row r="81" spans="1:23" s="613" customFormat="1" ht="24.95" customHeight="1" x14ac:dyDescent="0.25">
      <c r="A81" s="680">
        <v>80111621</v>
      </c>
      <c r="B81" s="681" t="s">
        <v>58</v>
      </c>
      <c r="C81" s="681" t="s">
        <v>198</v>
      </c>
      <c r="D81" s="681" t="s">
        <v>60</v>
      </c>
      <c r="E81" s="682" t="s">
        <v>220</v>
      </c>
      <c r="F81" s="682" t="s">
        <v>221</v>
      </c>
      <c r="G81" s="683">
        <v>1</v>
      </c>
      <c r="H81" s="683">
        <v>1</v>
      </c>
      <c r="I81" s="683">
        <v>10</v>
      </c>
      <c r="J81" s="683">
        <v>0</v>
      </c>
      <c r="K81" s="684" t="s">
        <v>83</v>
      </c>
      <c r="L81" s="682" t="s">
        <v>3</v>
      </c>
      <c r="M81" s="727">
        <v>19096200</v>
      </c>
      <c r="N81" s="722">
        <v>2018011000290</v>
      </c>
      <c r="O81" s="686" t="s">
        <v>2</v>
      </c>
      <c r="P81" s="686" t="s">
        <v>97</v>
      </c>
      <c r="Q81" s="683" t="s">
        <v>66</v>
      </c>
      <c r="R81" s="687">
        <v>0</v>
      </c>
      <c r="S81" s="684" t="s">
        <v>67</v>
      </c>
      <c r="T81" s="684" t="s">
        <v>68</v>
      </c>
      <c r="U81" s="684" t="s">
        <v>121</v>
      </c>
      <c r="V81" s="688">
        <v>3422121</v>
      </c>
      <c r="W81" s="689" t="s">
        <v>122</v>
      </c>
    </row>
    <row r="82" spans="1:23" s="613" customFormat="1" ht="24.95" customHeight="1" x14ac:dyDescent="0.25">
      <c r="A82" s="680" t="s">
        <v>222</v>
      </c>
      <c r="B82" s="681" t="s">
        <v>58</v>
      </c>
      <c r="C82" s="681" t="s">
        <v>59</v>
      </c>
      <c r="D82" s="681" t="s">
        <v>60</v>
      </c>
      <c r="E82" s="682" t="s">
        <v>61</v>
      </c>
      <c r="F82" s="682" t="s">
        <v>223</v>
      </c>
      <c r="G82" s="683">
        <v>1</v>
      </c>
      <c r="H82" s="683">
        <v>1</v>
      </c>
      <c r="I82" s="683">
        <v>11</v>
      </c>
      <c r="J82" s="683">
        <v>0</v>
      </c>
      <c r="K82" s="684" t="s">
        <v>83</v>
      </c>
      <c r="L82" s="682" t="s">
        <v>3</v>
      </c>
      <c r="M82" s="727">
        <v>73520370</v>
      </c>
      <c r="N82" s="722">
        <v>2018011000290</v>
      </c>
      <c r="O82" s="686" t="s">
        <v>2</v>
      </c>
      <c r="P82" s="686" t="s">
        <v>64</v>
      </c>
      <c r="Q82" s="683" t="s">
        <v>66</v>
      </c>
      <c r="R82" s="687">
        <v>0</v>
      </c>
      <c r="S82" s="684" t="s">
        <v>67</v>
      </c>
      <c r="T82" s="684" t="s">
        <v>68</v>
      </c>
      <c r="U82" s="684" t="s">
        <v>69</v>
      </c>
      <c r="V82" s="688">
        <v>3422121</v>
      </c>
      <c r="W82" s="689" t="s">
        <v>70</v>
      </c>
    </row>
    <row r="83" spans="1:23" s="613" customFormat="1" ht="24.95" customHeight="1" x14ac:dyDescent="0.25">
      <c r="A83" s="680">
        <v>86101710</v>
      </c>
      <c r="B83" s="681" t="s">
        <v>58</v>
      </c>
      <c r="C83" s="681" t="s">
        <v>59</v>
      </c>
      <c r="D83" s="681" t="s">
        <v>60</v>
      </c>
      <c r="E83" s="682" t="s">
        <v>61</v>
      </c>
      <c r="F83" s="682" t="s">
        <v>224</v>
      </c>
      <c r="G83" s="683">
        <v>2</v>
      </c>
      <c r="H83" s="683">
        <v>2</v>
      </c>
      <c r="I83" s="683">
        <v>10</v>
      </c>
      <c r="J83" s="683">
        <v>15</v>
      </c>
      <c r="K83" s="684" t="s">
        <v>83</v>
      </c>
      <c r="L83" s="682" t="s">
        <v>3</v>
      </c>
      <c r="M83" s="727">
        <v>55140278</v>
      </c>
      <c r="N83" s="722">
        <v>2018011000290</v>
      </c>
      <c r="O83" s="686" t="s">
        <v>2</v>
      </c>
      <c r="P83" s="686" t="s">
        <v>64</v>
      </c>
      <c r="Q83" s="683" t="s">
        <v>66</v>
      </c>
      <c r="R83" s="687">
        <v>0</v>
      </c>
      <c r="S83" s="684" t="s">
        <v>67</v>
      </c>
      <c r="T83" s="684" t="s">
        <v>68</v>
      </c>
      <c r="U83" s="684" t="s">
        <v>69</v>
      </c>
      <c r="V83" s="688">
        <v>3422121</v>
      </c>
      <c r="W83" s="689" t="s">
        <v>70</v>
      </c>
    </row>
    <row r="84" spans="1:23" s="613" customFormat="1" ht="24.95" customHeight="1" x14ac:dyDescent="0.25">
      <c r="A84" s="680" t="s">
        <v>225</v>
      </c>
      <c r="B84" s="681" t="s">
        <v>58</v>
      </c>
      <c r="C84" s="681" t="s">
        <v>59</v>
      </c>
      <c r="D84" s="681" t="s">
        <v>60</v>
      </c>
      <c r="E84" s="682" t="s">
        <v>61</v>
      </c>
      <c r="F84" s="682" t="s">
        <v>226</v>
      </c>
      <c r="G84" s="683">
        <v>2</v>
      </c>
      <c r="H84" s="683">
        <v>2</v>
      </c>
      <c r="I84" s="683">
        <v>10</v>
      </c>
      <c r="J84" s="683">
        <v>15</v>
      </c>
      <c r="K84" s="684" t="s">
        <v>83</v>
      </c>
      <c r="L84" s="682" t="s">
        <v>3</v>
      </c>
      <c r="M84" s="727">
        <v>55140278</v>
      </c>
      <c r="N84" s="722">
        <v>2018011000290</v>
      </c>
      <c r="O84" s="686" t="s">
        <v>2</v>
      </c>
      <c r="P84" s="686" t="s">
        <v>64</v>
      </c>
      <c r="Q84" s="683" t="s">
        <v>66</v>
      </c>
      <c r="R84" s="687">
        <v>0</v>
      </c>
      <c r="S84" s="684" t="s">
        <v>67</v>
      </c>
      <c r="T84" s="684" t="s">
        <v>68</v>
      </c>
      <c r="U84" s="684" t="s">
        <v>69</v>
      </c>
      <c r="V84" s="688">
        <v>3422121</v>
      </c>
      <c r="W84" s="689" t="s">
        <v>70</v>
      </c>
    </row>
    <row r="85" spans="1:23" s="613" customFormat="1" ht="24.95" customHeight="1" x14ac:dyDescent="0.25">
      <c r="A85" s="680" t="s">
        <v>228</v>
      </c>
      <c r="B85" s="681" t="s">
        <v>58</v>
      </c>
      <c r="C85" s="681" t="s">
        <v>59</v>
      </c>
      <c r="D85" s="681" t="s">
        <v>60</v>
      </c>
      <c r="E85" s="682" t="s">
        <v>61</v>
      </c>
      <c r="F85" s="682" t="s">
        <v>229</v>
      </c>
      <c r="G85" s="683">
        <v>2</v>
      </c>
      <c r="H85" s="683">
        <v>2</v>
      </c>
      <c r="I85" s="683">
        <v>10</v>
      </c>
      <c r="J85" s="683">
        <v>15</v>
      </c>
      <c r="K85" s="684" t="s">
        <v>83</v>
      </c>
      <c r="L85" s="682" t="s">
        <v>3</v>
      </c>
      <c r="M85" s="727">
        <v>55140278</v>
      </c>
      <c r="N85" s="722">
        <v>2018011000290</v>
      </c>
      <c r="O85" s="686" t="s">
        <v>2</v>
      </c>
      <c r="P85" s="686" t="s">
        <v>64</v>
      </c>
      <c r="Q85" s="683" t="s">
        <v>66</v>
      </c>
      <c r="R85" s="687">
        <v>0</v>
      </c>
      <c r="S85" s="684" t="s">
        <v>67</v>
      </c>
      <c r="T85" s="684" t="s">
        <v>68</v>
      </c>
      <c r="U85" s="684" t="s">
        <v>69</v>
      </c>
      <c r="V85" s="688">
        <v>3422121</v>
      </c>
      <c r="W85" s="689" t="s">
        <v>70</v>
      </c>
    </row>
    <row r="86" spans="1:23" s="613" customFormat="1" ht="24.95" customHeight="1" x14ac:dyDescent="0.25">
      <c r="A86" s="680" t="s">
        <v>228</v>
      </c>
      <c r="B86" s="681" t="s">
        <v>58</v>
      </c>
      <c r="C86" s="681" t="s">
        <v>59</v>
      </c>
      <c r="D86" s="681" t="s">
        <v>60</v>
      </c>
      <c r="E86" s="682" t="s">
        <v>61</v>
      </c>
      <c r="F86" s="682" t="s">
        <v>230</v>
      </c>
      <c r="G86" s="683">
        <v>2</v>
      </c>
      <c r="H86" s="683">
        <v>2</v>
      </c>
      <c r="I86" s="683">
        <v>10</v>
      </c>
      <c r="J86" s="683">
        <v>15</v>
      </c>
      <c r="K86" s="684" t="s">
        <v>83</v>
      </c>
      <c r="L86" s="682" t="s">
        <v>3</v>
      </c>
      <c r="M86" s="727">
        <v>58482113</v>
      </c>
      <c r="N86" s="722">
        <v>2018011000290</v>
      </c>
      <c r="O86" s="686" t="s">
        <v>2</v>
      </c>
      <c r="P86" s="686" t="s">
        <v>64</v>
      </c>
      <c r="Q86" s="683" t="s">
        <v>66</v>
      </c>
      <c r="R86" s="687">
        <v>0</v>
      </c>
      <c r="S86" s="684" t="s">
        <v>67</v>
      </c>
      <c r="T86" s="684" t="s">
        <v>68</v>
      </c>
      <c r="U86" s="684" t="s">
        <v>69</v>
      </c>
      <c r="V86" s="688">
        <v>3422121</v>
      </c>
      <c r="W86" s="689" t="s">
        <v>70</v>
      </c>
    </row>
    <row r="87" spans="1:23" s="613" customFormat="1" ht="24.95" customHeight="1" x14ac:dyDescent="0.25">
      <c r="A87" s="680">
        <v>86101710</v>
      </c>
      <c r="B87" s="681" t="s">
        <v>58</v>
      </c>
      <c r="C87" s="681" t="s">
        <v>59</v>
      </c>
      <c r="D87" s="681" t="s">
        <v>60</v>
      </c>
      <c r="E87" s="682" t="s">
        <v>72</v>
      </c>
      <c r="F87" s="682" t="s">
        <v>231</v>
      </c>
      <c r="G87" s="683">
        <v>8</v>
      </c>
      <c r="H87" s="683">
        <v>8</v>
      </c>
      <c r="I87" s="683">
        <v>4</v>
      </c>
      <c r="J87" s="683">
        <v>0</v>
      </c>
      <c r="K87" s="684" t="s">
        <v>83</v>
      </c>
      <c r="L87" s="682" t="s">
        <v>3</v>
      </c>
      <c r="M87" s="727">
        <v>9658311</v>
      </c>
      <c r="N87" s="722">
        <v>2018011000290</v>
      </c>
      <c r="O87" s="686" t="s">
        <v>2</v>
      </c>
      <c r="P87" s="686" t="s">
        <v>64</v>
      </c>
      <c r="Q87" s="683" t="s">
        <v>66</v>
      </c>
      <c r="R87" s="687">
        <v>0</v>
      </c>
      <c r="S87" s="684" t="s">
        <v>67</v>
      </c>
      <c r="T87" s="684" t="s">
        <v>68</v>
      </c>
      <c r="U87" s="684" t="s">
        <v>69</v>
      </c>
      <c r="V87" s="688">
        <v>3422121</v>
      </c>
      <c r="W87" s="689" t="s">
        <v>70</v>
      </c>
    </row>
    <row r="88" spans="1:23" s="613" customFormat="1" ht="24.95" customHeight="1" x14ac:dyDescent="0.25">
      <c r="A88" s="680" t="s">
        <v>225</v>
      </c>
      <c r="B88" s="681" t="s">
        <v>58</v>
      </c>
      <c r="C88" s="681" t="s">
        <v>59</v>
      </c>
      <c r="D88" s="681" t="s">
        <v>60</v>
      </c>
      <c r="E88" s="682" t="s">
        <v>72</v>
      </c>
      <c r="F88" s="682" t="s">
        <v>232</v>
      </c>
      <c r="G88" s="683">
        <v>2</v>
      </c>
      <c r="H88" s="683">
        <v>2</v>
      </c>
      <c r="I88" s="683">
        <v>10</v>
      </c>
      <c r="J88" s="683">
        <v>15</v>
      </c>
      <c r="K88" s="684" t="s">
        <v>83</v>
      </c>
      <c r="L88" s="682" t="s">
        <v>3</v>
      </c>
      <c r="M88" s="727">
        <v>46785690</v>
      </c>
      <c r="N88" s="722">
        <v>2018011000290</v>
      </c>
      <c r="O88" s="686" t="s">
        <v>2</v>
      </c>
      <c r="P88" s="686" t="s">
        <v>64</v>
      </c>
      <c r="Q88" s="683" t="s">
        <v>66</v>
      </c>
      <c r="R88" s="687">
        <v>0</v>
      </c>
      <c r="S88" s="684" t="s">
        <v>67</v>
      </c>
      <c r="T88" s="684" t="s">
        <v>68</v>
      </c>
      <c r="U88" s="684" t="s">
        <v>69</v>
      </c>
      <c r="V88" s="688">
        <v>3422121</v>
      </c>
      <c r="W88" s="689" t="s">
        <v>70</v>
      </c>
    </row>
    <row r="89" spans="1:23" s="613" customFormat="1" ht="24.95" customHeight="1" x14ac:dyDescent="0.25">
      <c r="A89" s="680" t="s">
        <v>225</v>
      </c>
      <c r="B89" s="681" t="s">
        <v>58</v>
      </c>
      <c r="C89" s="681" t="s">
        <v>59</v>
      </c>
      <c r="D89" s="681" t="s">
        <v>60</v>
      </c>
      <c r="E89" s="682" t="s">
        <v>72</v>
      </c>
      <c r="F89" s="682" t="s">
        <v>233</v>
      </c>
      <c r="G89" s="683">
        <v>2</v>
      </c>
      <c r="H89" s="683">
        <v>2</v>
      </c>
      <c r="I89" s="683">
        <v>10</v>
      </c>
      <c r="J89" s="683">
        <v>15</v>
      </c>
      <c r="K89" s="684" t="s">
        <v>83</v>
      </c>
      <c r="L89" s="682" t="s">
        <v>3</v>
      </c>
      <c r="M89" s="727">
        <v>52633901</v>
      </c>
      <c r="N89" s="722">
        <v>2018011000290</v>
      </c>
      <c r="O89" s="686" t="s">
        <v>2</v>
      </c>
      <c r="P89" s="686" t="s">
        <v>64</v>
      </c>
      <c r="Q89" s="683" t="s">
        <v>66</v>
      </c>
      <c r="R89" s="687">
        <v>0</v>
      </c>
      <c r="S89" s="684" t="s">
        <v>67</v>
      </c>
      <c r="T89" s="684" t="s">
        <v>68</v>
      </c>
      <c r="U89" s="684" t="s">
        <v>69</v>
      </c>
      <c r="V89" s="688">
        <v>3422121</v>
      </c>
      <c r="W89" s="689" t="s">
        <v>70</v>
      </c>
    </row>
    <row r="90" spans="1:23" s="613" customFormat="1" ht="24.95" customHeight="1" x14ac:dyDescent="0.25">
      <c r="A90" s="680" t="s">
        <v>225</v>
      </c>
      <c r="B90" s="681" t="s">
        <v>58</v>
      </c>
      <c r="C90" s="681" t="s">
        <v>59</v>
      </c>
      <c r="D90" s="681" t="s">
        <v>60</v>
      </c>
      <c r="E90" s="682" t="s">
        <v>72</v>
      </c>
      <c r="F90" s="682" t="s">
        <v>234</v>
      </c>
      <c r="G90" s="683">
        <v>2</v>
      </c>
      <c r="H90" s="683">
        <v>2</v>
      </c>
      <c r="I90" s="683">
        <v>10</v>
      </c>
      <c r="J90" s="683">
        <v>15</v>
      </c>
      <c r="K90" s="684" t="s">
        <v>83</v>
      </c>
      <c r="L90" s="682" t="s">
        <v>3</v>
      </c>
      <c r="M90" s="727">
        <v>58482112</v>
      </c>
      <c r="N90" s="722">
        <v>2018011000290</v>
      </c>
      <c r="O90" s="686" t="s">
        <v>2</v>
      </c>
      <c r="P90" s="686" t="s">
        <v>64</v>
      </c>
      <c r="Q90" s="683" t="s">
        <v>66</v>
      </c>
      <c r="R90" s="687">
        <v>0</v>
      </c>
      <c r="S90" s="684" t="s">
        <v>67</v>
      </c>
      <c r="T90" s="684" t="s">
        <v>68</v>
      </c>
      <c r="U90" s="684" t="s">
        <v>69</v>
      </c>
      <c r="V90" s="688">
        <v>3422121</v>
      </c>
      <c r="W90" s="689" t="s">
        <v>70</v>
      </c>
    </row>
    <row r="91" spans="1:23" s="613" customFormat="1" ht="24.95" customHeight="1" x14ac:dyDescent="0.25">
      <c r="A91" s="680">
        <v>86101710</v>
      </c>
      <c r="B91" s="681" t="s">
        <v>58</v>
      </c>
      <c r="C91" s="681" t="s">
        <v>59</v>
      </c>
      <c r="D91" s="681" t="s">
        <v>60</v>
      </c>
      <c r="E91" s="682" t="s">
        <v>72</v>
      </c>
      <c r="F91" s="682" t="s">
        <v>235</v>
      </c>
      <c r="G91" s="683">
        <v>6</v>
      </c>
      <c r="H91" s="683">
        <v>6</v>
      </c>
      <c r="I91" s="683">
        <v>6</v>
      </c>
      <c r="J91" s="683">
        <v>0</v>
      </c>
      <c r="K91" s="684" t="s">
        <v>83</v>
      </c>
      <c r="L91" s="682" t="s">
        <v>3</v>
      </c>
      <c r="M91" s="727">
        <v>6100176</v>
      </c>
      <c r="N91" s="722">
        <v>2018011000290</v>
      </c>
      <c r="O91" s="686" t="s">
        <v>2</v>
      </c>
      <c r="P91" s="686" t="s">
        <v>64</v>
      </c>
      <c r="Q91" s="683" t="s">
        <v>66</v>
      </c>
      <c r="R91" s="687">
        <v>0</v>
      </c>
      <c r="S91" s="684" t="s">
        <v>67</v>
      </c>
      <c r="T91" s="684" t="s">
        <v>68</v>
      </c>
      <c r="U91" s="684" t="s">
        <v>69</v>
      </c>
      <c r="V91" s="688">
        <v>3422121</v>
      </c>
      <c r="W91" s="689" t="s">
        <v>70</v>
      </c>
    </row>
    <row r="92" spans="1:23" s="613" customFormat="1" ht="24.95" customHeight="1" x14ac:dyDescent="0.25">
      <c r="A92" s="680" t="s">
        <v>222</v>
      </c>
      <c r="B92" s="681" t="s">
        <v>58</v>
      </c>
      <c r="C92" s="681" t="s">
        <v>59</v>
      </c>
      <c r="D92" s="681" t="s">
        <v>60</v>
      </c>
      <c r="E92" s="682" t="s">
        <v>72</v>
      </c>
      <c r="F92" s="682" t="s">
        <v>236</v>
      </c>
      <c r="G92" s="683">
        <v>1</v>
      </c>
      <c r="H92" s="683">
        <v>1</v>
      </c>
      <c r="I92" s="683">
        <v>11</v>
      </c>
      <c r="J92" s="683">
        <v>0</v>
      </c>
      <c r="K92" s="684" t="s">
        <v>83</v>
      </c>
      <c r="L92" s="682" t="s">
        <v>3</v>
      </c>
      <c r="M92" s="727">
        <v>73520370</v>
      </c>
      <c r="N92" s="722">
        <v>2018011000290</v>
      </c>
      <c r="O92" s="686" t="s">
        <v>2</v>
      </c>
      <c r="P92" s="686" t="s">
        <v>64</v>
      </c>
      <c r="Q92" s="683" t="s">
        <v>66</v>
      </c>
      <c r="R92" s="687">
        <v>0</v>
      </c>
      <c r="S92" s="684" t="s">
        <v>67</v>
      </c>
      <c r="T92" s="684" t="s">
        <v>68</v>
      </c>
      <c r="U92" s="684" t="s">
        <v>69</v>
      </c>
      <c r="V92" s="688">
        <v>3422121</v>
      </c>
      <c r="W92" s="689" t="s">
        <v>70</v>
      </c>
    </row>
    <row r="93" spans="1:23" s="613" customFormat="1" ht="24.95" customHeight="1" x14ac:dyDescent="0.25">
      <c r="A93" s="680">
        <v>86101710</v>
      </c>
      <c r="B93" s="681" t="s">
        <v>58</v>
      </c>
      <c r="C93" s="681" t="s">
        <v>59</v>
      </c>
      <c r="D93" s="681" t="s">
        <v>60</v>
      </c>
      <c r="E93" s="682" t="s">
        <v>72</v>
      </c>
      <c r="F93" s="682" t="s">
        <v>237</v>
      </c>
      <c r="G93" s="683">
        <v>2</v>
      </c>
      <c r="H93" s="683">
        <v>2</v>
      </c>
      <c r="I93" s="683">
        <v>10</v>
      </c>
      <c r="J93" s="683">
        <v>0</v>
      </c>
      <c r="K93" s="684" t="s">
        <v>83</v>
      </c>
      <c r="L93" s="682" t="s">
        <v>3</v>
      </c>
      <c r="M93" s="727">
        <v>15432696</v>
      </c>
      <c r="N93" s="722">
        <v>2018011000290</v>
      </c>
      <c r="O93" s="686" t="s">
        <v>2</v>
      </c>
      <c r="P93" s="686" t="s">
        <v>120</v>
      </c>
      <c r="Q93" s="683" t="s">
        <v>66</v>
      </c>
      <c r="R93" s="687">
        <v>0</v>
      </c>
      <c r="S93" s="684" t="s">
        <v>67</v>
      </c>
      <c r="T93" s="684" t="s">
        <v>68</v>
      </c>
      <c r="U93" s="684" t="s">
        <v>69</v>
      </c>
      <c r="V93" s="688">
        <v>3422121</v>
      </c>
      <c r="W93" s="689" t="s">
        <v>70</v>
      </c>
    </row>
    <row r="94" spans="1:23" s="613" customFormat="1" ht="24.95" customHeight="1" x14ac:dyDescent="0.25">
      <c r="A94" s="680">
        <v>86101600</v>
      </c>
      <c r="B94" s="681" t="s">
        <v>58</v>
      </c>
      <c r="C94" s="681" t="s">
        <v>59</v>
      </c>
      <c r="D94" s="681" t="s">
        <v>60</v>
      </c>
      <c r="E94" s="682" t="s">
        <v>72</v>
      </c>
      <c r="F94" s="682" t="s">
        <v>238</v>
      </c>
      <c r="G94" s="683">
        <v>6</v>
      </c>
      <c r="H94" s="683">
        <v>6</v>
      </c>
      <c r="I94" s="683">
        <v>0</v>
      </c>
      <c r="J94" s="683">
        <v>0</v>
      </c>
      <c r="K94" s="684" t="s">
        <v>83</v>
      </c>
      <c r="L94" s="682" t="s">
        <v>3</v>
      </c>
      <c r="M94" s="727">
        <v>7007800</v>
      </c>
      <c r="N94" s="722">
        <v>2018011000290</v>
      </c>
      <c r="O94" s="686" t="s">
        <v>2</v>
      </c>
      <c r="P94" s="686" t="s">
        <v>64</v>
      </c>
      <c r="Q94" s="683" t="s">
        <v>66</v>
      </c>
      <c r="R94" s="687">
        <v>0</v>
      </c>
      <c r="S94" s="684" t="s">
        <v>67</v>
      </c>
      <c r="T94" s="684" t="s">
        <v>68</v>
      </c>
      <c r="U94" s="684" t="s">
        <v>69</v>
      </c>
      <c r="V94" s="688">
        <v>3422121</v>
      </c>
      <c r="W94" s="689" t="s">
        <v>70</v>
      </c>
    </row>
    <row r="95" spans="1:23" s="613" customFormat="1" ht="24.95" customHeight="1" x14ac:dyDescent="0.25">
      <c r="A95" s="680" t="s">
        <v>239</v>
      </c>
      <c r="B95" s="681" t="s">
        <v>58</v>
      </c>
      <c r="C95" s="681" t="s">
        <v>59</v>
      </c>
      <c r="D95" s="681" t="s">
        <v>60</v>
      </c>
      <c r="E95" s="682" t="s">
        <v>74</v>
      </c>
      <c r="F95" s="682" t="s">
        <v>240</v>
      </c>
      <c r="G95" s="683">
        <v>1</v>
      </c>
      <c r="H95" s="683">
        <v>11</v>
      </c>
      <c r="I95" s="683">
        <v>11</v>
      </c>
      <c r="J95" s="683">
        <v>0</v>
      </c>
      <c r="K95" s="684" t="s">
        <v>83</v>
      </c>
      <c r="L95" s="682" t="s">
        <v>3</v>
      </c>
      <c r="M95" s="727">
        <v>88644560</v>
      </c>
      <c r="N95" s="722">
        <v>2018011000290</v>
      </c>
      <c r="O95" s="686" t="s">
        <v>2</v>
      </c>
      <c r="P95" s="686" t="s">
        <v>64</v>
      </c>
      <c r="Q95" s="683" t="s">
        <v>66</v>
      </c>
      <c r="R95" s="687">
        <v>0</v>
      </c>
      <c r="S95" s="684" t="s">
        <v>67</v>
      </c>
      <c r="T95" s="684" t="s">
        <v>68</v>
      </c>
      <c r="U95" s="684" t="s">
        <v>69</v>
      </c>
      <c r="V95" s="688">
        <v>3422121</v>
      </c>
      <c r="W95" s="689" t="s">
        <v>70</v>
      </c>
    </row>
    <row r="96" spans="1:23" s="613" customFormat="1" ht="24.95" customHeight="1" x14ac:dyDescent="0.25">
      <c r="A96" s="680" t="s">
        <v>225</v>
      </c>
      <c r="B96" s="681" t="s">
        <v>58</v>
      </c>
      <c r="C96" s="681" t="s">
        <v>59</v>
      </c>
      <c r="D96" s="681" t="s">
        <v>60</v>
      </c>
      <c r="E96" s="682" t="s">
        <v>74</v>
      </c>
      <c r="F96" s="682" t="s">
        <v>241</v>
      </c>
      <c r="G96" s="683">
        <v>1</v>
      </c>
      <c r="H96" s="683">
        <v>10</v>
      </c>
      <c r="I96" s="683">
        <v>10</v>
      </c>
      <c r="J96" s="683">
        <v>15</v>
      </c>
      <c r="K96" s="684" t="s">
        <v>83</v>
      </c>
      <c r="L96" s="682" t="s">
        <v>3</v>
      </c>
      <c r="M96" s="727">
        <v>52633371</v>
      </c>
      <c r="N96" s="722">
        <v>2018011000290</v>
      </c>
      <c r="O96" s="686" t="s">
        <v>2</v>
      </c>
      <c r="P96" s="686" t="s">
        <v>64</v>
      </c>
      <c r="Q96" s="683" t="s">
        <v>66</v>
      </c>
      <c r="R96" s="687">
        <v>0</v>
      </c>
      <c r="S96" s="684" t="s">
        <v>67</v>
      </c>
      <c r="T96" s="684" t="s">
        <v>68</v>
      </c>
      <c r="U96" s="684" t="s">
        <v>69</v>
      </c>
      <c r="V96" s="688">
        <v>3422121</v>
      </c>
      <c r="W96" s="689" t="s">
        <v>70</v>
      </c>
    </row>
    <row r="97" spans="1:23" s="613" customFormat="1" ht="24.95" customHeight="1" x14ac:dyDescent="0.25">
      <c r="A97" s="680" t="s">
        <v>225</v>
      </c>
      <c r="B97" s="681" t="s">
        <v>58</v>
      </c>
      <c r="C97" s="681" t="s">
        <v>59</v>
      </c>
      <c r="D97" s="681" t="s">
        <v>60</v>
      </c>
      <c r="E97" s="682" t="s">
        <v>74</v>
      </c>
      <c r="F97" s="682" t="s">
        <v>241</v>
      </c>
      <c r="G97" s="683">
        <v>1</v>
      </c>
      <c r="H97" s="683">
        <v>10</v>
      </c>
      <c r="I97" s="683">
        <v>10</v>
      </c>
      <c r="J97" s="683">
        <v>15</v>
      </c>
      <c r="K97" s="684" t="s">
        <v>83</v>
      </c>
      <c r="L97" s="682" t="s">
        <v>3</v>
      </c>
      <c r="M97" s="727">
        <v>52633371</v>
      </c>
      <c r="N97" s="722">
        <v>2018011000290</v>
      </c>
      <c r="O97" s="686" t="s">
        <v>2</v>
      </c>
      <c r="P97" s="686" t="s">
        <v>64</v>
      </c>
      <c r="Q97" s="683" t="s">
        <v>66</v>
      </c>
      <c r="R97" s="687">
        <v>0</v>
      </c>
      <c r="S97" s="684" t="s">
        <v>67</v>
      </c>
      <c r="T97" s="684" t="s">
        <v>68</v>
      </c>
      <c r="U97" s="684" t="s">
        <v>69</v>
      </c>
      <c r="V97" s="688">
        <v>3422121</v>
      </c>
      <c r="W97" s="689" t="s">
        <v>70</v>
      </c>
    </row>
    <row r="98" spans="1:23" s="613" customFormat="1" ht="24.95" customHeight="1" x14ac:dyDescent="0.25">
      <c r="A98" s="680" t="s">
        <v>225</v>
      </c>
      <c r="B98" s="681" t="s">
        <v>58</v>
      </c>
      <c r="C98" s="681" t="s">
        <v>59</v>
      </c>
      <c r="D98" s="681" t="s">
        <v>60</v>
      </c>
      <c r="E98" s="682" t="s">
        <v>74</v>
      </c>
      <c r="F98" s="682" t="s">
        <v>241</v>
      </c>
      <c r="G98" s="683">
        <v>1</v>
      </c>
      <c r="H98" s="683">
        <v>10</v>
      </c>
      <c r="I98" s="683">
        <v>10</v>
      </c>
      <c r="J98" s="683">
        <v>15</v>
      </c>
      <c r="K98" s="684" t="s">
        <v>83</v>
      </c>
      <c r="L98" s="682" t="s">
        <v>3</v>
      </c>
      <c r="M98" s="727">
        <v>52633371</v>
      </c>
      <c r="N98" s="722">
        <v>2018011000290</v>
      </c>
      <c r="O98" s="686" t="s">
        <v>2</v>
      </c>
      <c r="P98" s="686" t="s">
        <v>64</v>
      </c>
      <c r="Q98" s="683" t="s">
        <v>66</v>
      </c>
      <c r="R98" s="687">
        <v>0</v>
      </c>
      <c r="S98" s="684" t="s">
        <v>67</v>
      </c>
      <c r="T98" s="684" t="s">
        <v>68</v>
      </c>
      <c r="U98" s="684" t="s">
        <v>69</v>
      </c>
      <c r="V98" s="688">
        <v>3422121</v>
      </c>
      <c r="W98" s="689" t="s">
        <v>70</v>
      </c>
    </row>
    <row r="99" spans="1:23" s="613" customFormat="1" ht="24.95" customHeight="1" x14ac:dyDescent="0.25">
      <c r="A99" s="680" t="s">
        <v>228</v>
      </c>
      <c r="B99" s="681" t="s">
        <v>58</v>
      </c>
      <c r="C99" s="681" t="s">
        <v>59</v>
      </c>
      <c r="D99" s="681" t="s">
        <v>60</v>
      </c>
      <c r="E99" s="682" t="s">
        <v>84</v>
      </c>
      <c r="F99" s="682" t="s">
        <v>243</v>
      </c>
      <c r="G99" s="683">
        <v>2</v>
      </c>
      <c r="H99" s="683">
        <v>10</v>
      </c>
      <c r="I99" s="683">
        <v>10</v>
      </c>
      <c r="J99" s="683">
        <v>15</v>
      </c>
      <c r="K99" s="684" t="s">
        <v>83</v>
      </c>
      <c r="L99" s="682" t="s">
        <v>3</v>
      </c>
      <c r="M99" s="727">
        <v>63336503</v>
      </c>
      <c r="N99" s="722">
        <v>2018011000290</v>
      </c>
      <c r="O99" s="686" t="s">
        <v>2</v>
      </c>
      <c r="P99" s="686" t="s">
        <v>64</v>
      </c>
      <c r="Q99" s="683" t="s">
        <v>66</v>
      </c>
      <c r="R99" s="687">
        <v>0</v>
      </c>
      <c r="S99" s="684" t="s">
        <v>67</v>
      </c>
      <c r="T99" s="684" t="s">
        <v>68</v>
      </c>
      <c r="U99" s="684" t="s">
        <v>69</v>
      </c>
      <c r="V99" s="688">
        <v>3422121</v>
      </c>
      <c r="W99" s="689" t="s">
        <v>70</v>
      </c>
    </row>
    <row r="100" spans="1:23" s="613" customFormat="1" ht="24.95" customHeight="1" x14ac:dyDescent="0.25">
      <c r="A100" s="680" t="s">
        <v>228</v>
      </c>
      <c r="B100" s="681" t="s">
        <v>58</v>
      </c>
      <c r="C100" s="681" t="s">
        <v>59</v>
      </c>
      <c r="D100" s="681" t="s">
        <v>60</v>
      </c>
      <c r="E100" s="682" t="s">
        <v>84</v>
      </c>
      <c r="F100" s="682" t="s">
        <v>244</v>
      </c>
      <c r="G100" s="683">
        <v>2</v>
      </c>
      <c r="H100" s="683">
        <v>10</v>
      </c>
      <c r="I100" s="683">
        <v>10</v>
      </c>
      <c r="J100" s="683">
        <v>15</v>
      </c>
      <c r="K100" s="684" t="s">
        <v>83</v>
      </c>
      <c r="L100" s="682" t="s">
        <v>3</v>
      </c>
      <c r="M100" s="727">
        <v>58482112</v>
      </c>
      <c r="N100" s="722">
        <v>2018011000290</v>
      </c>
      <c r="O100" s="686" t="s">
        <v>2</v>
      </c>
      <c r="P100" s="686" t="s">
        <v>64</v>
      </c>
      <c r="Q100" s="683" t="s">
        <v>66</v>
      </c>
      <c r="R100" s="687">
        <v>0</v>
      </c>
      <c r="S100" s="684" t="s">
        <v>67</v>
      </c>
      <c r="T100" s="684" t="s">
        <v>68</v>
      </c>
      <c r="U100" s="684" t="s">
        <v>69</v>
      </c>
      <c r="V100" s="688">
        <v>3422121</v>
      </c>
      <c r="W100" s="689" t="s">
        <v>70</v>
      </c>
    </row>
    <row r="101" spans="1:23" s="613" customFormat="1" ht="24.95" customHeight="1" x14ac:dyDescent="0.25">
      <c r="A101" s="680" t="s">
        <v>228</v>
      </c>
      <c r="B101" s="681" t="s">
        <v>58</v>
      </c>
      <c r="C101" s="681" t="s">
        <v>59</v>
      </c>
      <c r="D101" s="681" t="s">
        <v>60</v>
      </c>
      <c r="E101" s="682" t="s">
        <v>84</v>
      </c>
      <c r="F101" s="682" t="s">
        <v>245</v>
      </c>
      <c r="G101" s="683">
        <v>2</v>
      </c>
      <c r="H101" s="683">
        <v>10</v>
      </c>
      <c r="I101" s="683">
        <v>10</v>
      </c>
      <c r="J101" s="683">
        <v>15</v>
      </c>
      <c r="K101" s="684" t="s">
        <v>83</v>
      </c>
      <c r="L101" s="682" t="s">
        <v>3</v>
      </c>
      <c r="M101" s="727">
        <v>52633901</v>
      </c>
      <c r="N101" s="722">
        <v>2018011000290</v>
      </c>
      <c r="O101" s="686" t="s">
        <v>2</v>
      </c>
      <c r="P101" s="686" t="s">
        <v>64</v>
      </c>
      <c r="Q101" s="683" t="s">
        <v>66</v>
      </c>
      <c r="R101" s="687">
        <v>0</v>
      </c>
      <c r="S101" s="684" t="s">
        <v>67</v>
      </c>
      <c r="T101" s="684" t="s">
        <v>68</v>
      </c>
      <c r="U101" s="684" t="s">
        <v>69</v>
      </c>
      <c r="V101" s="688">
        <v>3422121</v>
      </c>
      <c r="W101" s="689" t="s">
        <v>70</v>
      </c>
    </row>
    <row r="102" spans="1:23" s="613" customFormat="1" ht="24.95" customHeight="1" x14ac:dyDescent="0.25">
      <c r="A102" s="680" t="s">
        <v>228</v>
      </c>
      <c r="B102" s="681" t="s">
        <v>58</v>
      </c>
      <c r="C102" s="681" t="s">
        <v>59</v>
      </c>
      <c r="D102" s="681" t="s">
        <v>60</v>
      </c>
      <c r="E102" s="682" t="s">
        <v>84</v>
      </c>
      <c r="F102" s="682" t="s">
        <v>246</v>
      </c>
      <c r="G102" s="683">
        <v>2</v>
      </c>
      <c r="H102" s="683">
        <v>2</v>
      </c>
      <c r="I102" s="683">
        <v>10</v>
      </c>
      <c r="J102" s="683">
        <v>15</v>
      </c>
      <c r="K102" s="684" t="s">
        <v>83</v>
      </c>
      <c r="L102" s="682" t="s">
        <v>3</v>
      </c>
      <c r="M102" s="727">
        <v>52633901</v>
      </c>
      <c r="N102" s="722">
        <v>2018011000290</v>
      </c>
      <c r="O102" s="686" t="s">
        <v>2</v>
      </c>
      <c r="P102" s="686" t="s">
        <v>64</v>
      </c>
      <c r="Q102" s="683" t="s">
        <v>66</v>
      </c>
      <c r="R102" s="687">
        <v>0</v>
      </c>
      <c r="S102" s="684" t="s">
        <v>67</v>
      </c>
      <c r="T102" s="684" t="s">
        <v>68</v>
      </c>
      <c r="U102" s="684" t="s">
        <v>69</v>
      </c>
      <c r="V102" s="688">
        <v>3422121</v>
      </c>
      <c r="W102" s="689" t="s">
        <v>70</v>
      </c>
    </row>
    <row r="103" spans="1:23" s="613" customFormat="1" ht="24.95" customHeight="1" x14ac:dyDescent="0.25">
      <c r="A103" s="680" t="s">
        <v>222</v>
      </c>
      <c r="B103" s="681" t="s">
        <v>58</v>
      </c>
      <c r="C103" s="681" t="s">
        <v>59</v>
      </c>
      <c r="D103" s="681" t="s">
        <v>60</v>
      </c>
      <c r="E103" s="682" t="s">
        <v>86</v>
      </c>
      <c r="F103" s="682" t="s">
        <v>248</v>
      </c>
      <c r="G103" s="683">
        <v>1</v>
      </c>
      <c r="H103" s="683">
        <v>1</v>
      </c>
      <c r="I103" s="683">
        <v>11</v>
      </c>
      <c r="J103" s="683">
        <v>0</v>
      </c>
      <c r="K103" s="684" t="s">
        <v>83</v>
      </c>
      <c r="L103" s="682" t="s">
        <v>3</v>
      </c>
      <c r="M103" s="727">
        <v>82790370</v>
      </c>
      <c r="N103" s="722">
        <v>2018011000290</v>
      </c>
      <c r="O103" s="686" t="s">
        <v>2</v>
      </c>
      <c r="P103" s="686" t="s">
        <v>64</v>
      </c>
      <c r="Q103" s="683" t="s">
        <v>66</v>
      </c>
      <c r="R103" s="687">
        <v>0</v>
      </c>
      <c r="S103" s="684" t="s">
        <v>67</v>
      </c>
      <c r="T103" s="684" t="s">
        <v>68</v>
      </c>
      <c r="U103" s="684" t="s">
        <v>69</v>
      </c>
      <c r="V103" s="688">
        <v>3422121</v>
      </c>
      <c r="W103" s="689" t="s">
        <v>70</v>
      </c>
    </row>
    <row r="104" spans="1:23" s="613" customFormat="1" ht="24.95" customHeight="1" x14ac:dyDescent="0.25">
      <c r="A104" s="680" t="s">
        <v>225</v>
      </c>
      <c r="B104" s="681" t="s">
        <v>58</v>
      </c>
      <c r="C104" s="681" t="s">
        <v>59</v>
      </c>
      <c r="D104" s="681" t="s">
        <v>60</v>
      </c>
      <c r="E104" s="682" t="s">
        <v>86</v>
      </c>
      <c r="F104" s="682" t="s">
        <v>250</v>
      </c>
      <c r="G104" s="683">
        <v>2</v>
      </c>
      <c r="H104" s="683">
        <v>2</v>
      </c>
      <c r="I104" s="683">
        <v>10</v>
      </c>
      <c r="J104" s="683">
        <v>15</v>
      </c>
      <c r="K104" s="684" t="s">
        <v>83</v>
      </c>
      <c r="L104" s="682" t="s">
        <v>3</v>
      </c>
      <c r="M104" s="727">
        <v>70841031</v>
      </c>
      <c r="N104" s="722">
        <v>2018011000290</v>
      </c>
      <c r="O104" s="686" t="s">
        <v>2</v>
      </c>
      <c r="P104" s="686" t="s">
        <v>64</v>
      </c>
      <c r="Q104" s="683" t="s">
        <v>66</v>
      </c>
      <c r="R104" s="687">
        <v>0</v>
      </c>
      <c r="S104" s="684" t="s">
        <v>67</v>
      </c>
      <c r="T104" s="684" t="s">
        <v>68</v>
      </c>
      <c r="U104" s="684" t="s">
        <v>69</v>
      </c>
      <c r="V104" s="688">
        <v>3422121</v>
      </c>
      <c r="W104" s="689" t="s">
        <v>70</v>
      </c>
    </row>
    <row r="105" spans="1:23" s="613" customFormat="1" ht="24.95" customHeight="1" x14ac:dyDescent="0.25">
      <c r="A105" s="680" t="s">
        <v>225</v>
      </c>
      <c r="B105" s="681" t="s">
        <v>58</v>
      </c>
      <c r="C105" s="681" t="s">
        <v>59</v>
      </c>
      <c r="D105" s="681" t="s">
        <v>60</v>
      </c>
      <c r="E105" s="682" t="s">
        <v>86</v>
      </c>
      <c r="F105" s="682" t="s">
        <v>252</v>
      </c>
      <c r="G105" s="683">
        <v>2</v>
      </c>
      <c r="H105" s="683">
        <v>2</v>
      </c>
      <c r="I105" s="683">
        <v>10</v>
      </c>
      <c r="J105" s="683">
        <v>15</v>
      </c>
      <c r="K105" s="684" t="s">
        <v>83</v>
      </c>
      <c r="L105" s="682" t="s">
        <v>3</v>
      </c>
      <c r="M105" s="727">
        <v>58633906</v>
      </c>
      <c r="N105" s="722">
        <v>2018011000290</v>
      </c>
      <c r="O105" s="686" t="s">
        <v>2</v>
      </c>
      <c r="P105" s="686" t="s">
        <v>64</v>
      </c>
      <c r="Q105" s="683" t="s">
        <v>66</v>
      </c>
      <c r="R105" s="687">
        <v>0</v>
      </c>
      <c r="S105" s="684" t="s">
        <v>67</v>
      </c>
      <c r="T105" s="684" t="s">
        <v>68</v>
      </c>
      <c r="U105" s="684" t="s">
        <v>69</v>
      </c>
      <c r="V105" s="688">
        <v>3422121</v>
      </c>
      <c r="W105" s="689" t="s">
        <v>70</v>
      </c>
    </row>
    <row r="106" spans="1:23" s="613" customFormat="1" ht="24.95" customHeight="1" x14ac:dyDescent="0.25">
      <c r="A106" s="680">
        <v>86101601</v>
      </c>
      <c r="B106" s="681" t="s">
        <v>58</v>
      </c>
      <c r="C106" s="681" t="s">
        <v>59</v>
      </c>
      <c r="D106" s="681" t="s">
        <v>60</v>
      </c>
      <c r="E106" s="682" t="s">
        <v>86</v>
      </c>
      <c r="F106" s="682" t="s">
        <v>254</v>
      </c>
      <c r="G106" s="683">
        <v>2</v>
      </c>
      <c r="H106" s="683">
        <v>2</v>
      </c>
      <c r="I106" s="683">
        <v>10</v>
      </c>
      <c r="J106" s="683">
        <v>15</v>
      </c>
      <c r="K106" s="684" t="s">
        <v>83</v>
      </c>
      <c r="L106" s="682" t="s">
        <v>3</v>
      </c>
      <c r="M106" s="727">
        <v>23224037</v>
      </c>
      <c r="N106" s="722">
        <v>2018011000290</v>
      </c>
      <c r="O106" s="686" t="s">
        <v>2</v>
      </c>
      <c r="P106" s="686" t="s">
        <v>64</v>
      </c>
      <c r="Q106" s="683" t="s">
        <v>66</v>
      </c>
      <c r="R106" s="687">
        <v>0</v>
      </c>
      <c r="S106" s="684" t="s">
        <v>67</v>
      </c>
      <c r="T106" s="684" t="s">
        <v>68</v>
      </c>
      <c r="U106" s="684" t="s">
        <v>69</v>
      </c>
      <c r="V106" s="688">
        <v>3422121</v>
      </c>
      <c r="W106" s="689" t="s">
        <v>70</v>
      </c>
    </row>
    <row r="107" spans="1:23" s="613" customFormat="1" ht="24.95" customHeight="1" x14ac:dyDescent="0.25">
      <c r="A107" s="680" t="s">
        <v>225</v>
      </c>
      <c r="B107" s="681" t="s">
        <v>58</v>
      </c>
      <c r="C107" s="681" t="s">
        <v>59</v>
      </c>
      <c r="D107" s="681" t="s">
        <v>60</v>
      </c>
      <c r="E107" s="682" t="s">
        <v>86</v>
      </c>
      <c r="F107" s="682" t="s">
        <v>255</v>
      </c>
      <c r="G107" s="683">
        <v>2</v>
      </c>
      <c r="H107" s="683">
        <v>2</v>
      </c>
      <c r="I107" s="683">
        <v>10</v>
      </c>
      <c r="J107" s="683">
        <v>15</v>
      </c>
      <c r="K107" s="684" t="s">
        <v>83</v>
      </c>
      <c r="L107" s="682" t="s">
        <v>3</v>
      </c>
      <c r="M107" s="727">
        <v>52035690</v>
      </c>
      <c r="N107" s="722">
        <v>2018011000290</v>
      </c>
      <c r="O107" s="686" t="s">
        <v>2</v>
      </c>
      <c r="P107" s="686" t="s">
        <v>64</v>
      </c>
      <c r="Q107" s="683" t="s">
        <v>66</v>
      </c>
      <c r="R107" s="687">
        <v>0</v>
      </c>
      <c r="S107" s="684" t="s">
        <v>67</v>
      </c>
      <c r="T107" s="684" t="s">
        <v>68</v>
      </c>
      <c r="U107" s="684" t="s">
        <v>69</v>
      </c>
      <c r="V107" s="688">
        <v>3422121</v>
      </c>
      <c r="W107" s="689" t="s">
        <v>70</v>
      </c>
    </row>
    <row r="108" spans="1:23" s="613" customFormat="1" ht="24.95" customHeight="1" x14ac:dyDescent="0.25">
      <c r="A108" s="680" t="s">
        <v>225</v>
      </c>
      <c r="B108" s="681" t="s">
        <v>58</v>
      </c>
      <c r="C108" s="681" t="s">
        <v>59</v>
      </c>
      <c r="D108" s="681" t="s">
        <v>60</v>
      </c>
      <c r="E108" s="682" t="s">
        <v>86</v>
      </c>
      <c r="F108" s="682" t="s">
        <v>257</v>
      </c>
      <c r="G108" s="683">
        <v>1</v>
      </c>
      <c r="H108" s="683">
        <v>1</v>
      </c>
      <c r="I108" s="683">
        <v>11</v>
      </c>
      <c r="J108" s="683">
        <v>0</v>
      </c>
      <c r="K108" s="684" t="s">
        <v>83</v>
      </c>
      <c r="L108" s="682" t="s">
        <v>3</v>
      </c>
      <c r="M108" s="727">
        <v>61457443</v>
      </c>
      <c r="N108" s="722">
        <v>2018011000290</v>
      </c>
      <c r="O108" s="686" t="s">
        <v>2</v>
      </c>
      <c r="P108" s="686" t="s">
        <v>64</v>
      </c>
      <c r="Q108" s="683" t="s">
        <v>66</v>
      </c>
      <c r="R108" s="687">
        <v>0</v>
      </c>
      <c r="S108" s="684" t="s">
        <v>67</v>
      </c>
      <c r="T108" s="684" t="s">
        <v>68</v>
      </c>
      <c r="U108" s="684" t="s">
        <v>69</v>
      </c>
      <c r="V108" s="688">
        <v>3422121</v>
      </c>
      <c r="W108" s="689" t="s">
        <v>70</v>
      </c>
    </row>
    <row r="109" spans="1:23" s="613" customFormat="1" ht="24.95" customHeight="1" x14ac:dyDescent="0.25">
      <c r="A109" s="680" t="s">
        <v>225</v>
      </c>
      <c r="B109" s="681" t="s">
        <v>58</v>
      </c>
      <c r="C109" s="681" t="s">
        <v>59</v>
      </c>
      <c r="D109" s="681" t="s">
        <v>60</v>
      </c>
      <c r="E109" s="682" t="s">
        <v>86</v>
      </c>
      <c r="F109" s="682" t="s">
        <v>258</v>
      </c>
      <c r="G109" s="683">
        <v>2</v>
      </c>
      <c r="H109" s="683">
        <v>2</v>
      </c>
      <c r="I109" s="683">
        <v>10</v>
      </c>
      <c r="J109" s="683">
        <v>15</v>
      </c>
      <c r="K109" s="684" t="s">
        <v>83</v>
      </c>
      <c r="L109" s="682" t="s">
        <v>3</v>
      </c>
      <c r="M109" s="727">
        <v>46785690</v>
      </c>
      <c r="N109" s="722">
        <v>2018011000290</v>
      </c>
      <c r="O109" s="686" t="s">
        <v>2</v>
      </c>
      <c r="P109" s="686" t="s">
        <v>64</v>
      </c>
      <c r="Q109" s="683" t="s">
        <v>66</v>
      </c>
      <c r="R109" s="687">
        <v>0</v>
      </c>
      <c r="S109" s="684" t="s">
        <v>67</v>
      </c>
      <c r="T109" s="684" t="s">
        <v>68</v>
      </c>
      <c r="U109" s="684" t="s">
        <v>69</v>
      </c>
      <c r="V109" s="688">
        <v>3422121</v>
      </c>
      <c r="W109" s="689" t="s">
        <v>70</v>
      </c>
    </row>
    <row r="110" spans="1:23" s="613" customFormat="1" ht="24.95" customHeight="1" x14ac:dyDescent="0.25">
      <c r="A110" s="680">
        <v>86101710</v>
      </c>
      <c r="B110" s="681" t="s">
        <v>58</v>
      </c>
      <c r="C110" s="681" t="s">
        <v>59</v>
      </c>
      <c r="D110" s="681" t="s">
        <v>60</v>
      </c>
      <c r="E110" s="682" t="s">
        <v>86</v>
      </c>
      <c r="F110" s="682" t="s">
        <v>259</v>
      </c>
      <c r="G110" s="683">
        <v>2</v>
      </c>
      <c r="H110" s="683">
        <v>2</v>
      </c>
      <c r="I110" s="683">
        <v>10</v>
      </c>
      <c r="J110" s="683">
        <v>15</v>
      </c>
      <c r="K110" s="684" t="s">
        <v>83</v>
      </c>
      <c r="L110" s="682" t="s">
        <v>3</v>
      </c>
      <c r="M110" s="727">
        <v>22510859</v>
      </c>
      <c r="N110" s="722">
        <v>2018011000290</v>
      </c>
      <c r="O110" s="686" t="s">
        <v>2</v>
      </c>
      <c r="P110" s="686" t="s">
        <v>64</v>
      </c>
      <c r="Q110" s="683" t="s">
        <v>66</v>
      </c>
      <c r="R110" s="687">
        <v>0</v>
      </c>
      <c r="S110" s="684" t="s">
        <v>67</v>
      </c>
      <c r="T110" s="684" t="s">
        <v>68</v>
      </c>
      <c r="U110" s="684" t="s">
        <v>69</v>
      </c>
      <c r="V110" s="688">
        <v>3422121</v>
      </c>
      <c r="W110" s="689" t="s">
        <v>70</v>
      </c>
    </row>
    <row r="111" spans="1:23" s="613" customFormat="1" ht="24.95" customHeight="1" x14ac:dyDescent="0.25">
      <c r="A111" s="680">
        <v>81111820</v>
      </c>
      <c r="B111" s="681" t="s">
        <v>58</v>
      </c>
      <c r="C111" s="681" t="s">
        <v>59</v>
      </c>
      <c r="D111" s="681" t="s">
        <v>60</v>
      </c>
      <c r="E111" s="682" t="s">
        <v>89</v>
      </c>
      <c r="F111" s="682" t="s">
        <v>260</v>
      </c>
      <c r="G111" s="683">
        <v>1</v>
      </c>
      <c r="H111" s="683">
        <v>1</v>
      </c>
      <c r="I111" s="683">
        <v>11</v>
      </c>
      <c r="J111" s="683">
        <v>15</v>
      </c>
      <c r="K111" s="684" t="s">
        <v>83</v>
      </c>
      <c r="L111" s="682" t="s">
        <v>3</v>
      </c>
      <c r="M111" s="727">
        <v>41046073</v>
      </c>
      <c r="N111" s="722">
        <v>2018011000284</v>
      </c>
      <c r="O111" s="686" t="s">
        <v>11</v>
      </c>
      <c r="P111" s="686" t="s">
        <v>261</v>
      </c>
      <c r="Q111" s="683" t="s">
        <v>66</v>
      </c>
      <c r="R111" s="687">
        <v>0</v>
      </c>
      <c r="S111" s="684" t="s">
        <v>67</v>
      </c>
      <c r="T111" s="684" t="s">
        <v>68</v>
      </c>
      <c r="U111" s="684" t="s">
        <v>69</v>
      </c>
      <c r="V111" s="688">
        <v>3422121</v>
      </c>
      <c r="W111" s="689" t="s">
        <v>70</v>
      </c>
    </row>
    <row r="112" spans="1:23" s="613" customFormat="1" ht="24.95" customHeight="1" x14ac:dyDescent="0.25">
      <c r="A112" s="680">
        <v>81111820</v>
      </c>
      <c r="B112" s="681" t="s">
        <v>58</v>
      </c>
      <c r="C112" s="681" t="s">
        <v>59</v>
      </c>
      <c r="D112" s="681" t="s">
        <v>60</v>
      </c>
      <c r="E112" s="682" t="s">
        <v>89</v>
      </c>
      <c r="F112" s="682" t="s">
        <v>260</v>
      </c>
      <c r="G112" s="683">
        <v>1</v>
      </c>
      <c r="H112" s="683">
        <v>1</v>
      </c>
      <c r="I112" s="683">
        <v>11</v>
      </c>
      <c r="J112" s="683">
        <v>15</v>
      </c>
      <c r="K112" s="684" t="s">
        <v>83</v>
      </c>
      <c r="L112" s="682" t="s">
        <v>3</v>
      </c>
      <c r="M112" s="727">
        <v>16295572</v>
      </c>
      <c r="N112" s="722">
        <v>2018011000290</v>
      </c>
      <c r="O112" s="686" t="s">
        <v>2</v>
      </c>
      <c r="P112" s="686" t="s">
        <v>64</v>
      </c>
      <c r="Q112" s="683" t="s">
        <v>66</v>
      </c>
      <c r="R112" s="687">
        <v>0</v>
      </c>
      <c r="S112" s="684" t="s">
        <v>67</v>
      </c>
      <c r="T112" s="684" t="s">
        <v>68</v>
      </c>
      <c r="U112" s="684" t="s">
        <v>69</v>
      </c>
      <c r="V112" s="688">
        <v>3422121</v>
      </c>
      <c r="W112" s="689" t="s">
        <v>70</v>
      </c>
    </row>
    <row r="113" spans="1:23" s="613" customFormat="1" ht="24.95" customHeight="1" x14ac:dyDescent="0.25">
      <c r="A113" s="680">
        <v>86141501</v>
      </c>
      <c r="B113" s="681" t="s">
        <v>58</v>
      </c>
      <c r="C113" s="681" t="s">
        <v>59</v>
      </c>
      <c r="D113" s="681" t="s">
        <v>60</v>
      </c>
      <c r="E113" s="682" t="s">
        <v>89</v>
      </c>
      <c r="F113" s="682" t="s">
        <v>263</v>
      </c>
      <c r="G113" s="683">
        <v>2</v>
      </c>
      <c r="H113" s="683">
        <v>2</v>
      </c>
      <c r="I113" s="683">
        <v>6</v>
      </c>
      <c r="J113" s="683">
        <v>0</v>
      </c>
      <c r="K113" s="684" t="s">
        <v>83</v>
      </c>
      <c r="L113" s="682" t="s">
        <v>3</v>
      </c>
      <c r="M113" s="727">
        <v>35592264</v>
      </c>
      <c r="N113" s="722">
        <v>2018011000290</v>
      </c>
      <c r="O113" s="686" t="s">
        <v>2</v>
      </c>
      <c r="P113" s="686" t="s">
        <v>64</v>
      </c>
      <c r="Q113" s="683"/>
      <c r="R113" s="687"/>
      <c r="S113" s="684"/>
      <c r="T113" s="684"/>
      <c r="U113" s="684" t="s">
        <v>69</v>
      </c>
      <c r="V113" s="688"/>
      <c r="W113" s="689"/>
    </row>
    <row r="114" spans="1:23" s="613" customFormat="1" ht="24.95" customHeight="1" x14ac:dyDescent="0.25">
      <c r="A114" s="680">
        <v>86141501</v>
      </c>
      <c r="B114" s="681" t="s">
        <v>58</v>
      </c>
      <c r="C114" s="681" t="s">
        <v>59</v>
      </c>
      <c r="D114" s="681" t="s">
        <v>60</v>
      </c>
      <c r="E114" s="682" t="s">
        <v>89</v>
      </c>
      <c r="F114" s="682" t="s">
        <v>263</v>
      </c>
      <c r="G114" s="683">
        <v>8</v>
      </c>
      <c r="H114" s="683">
        <v>8</v>
      </c>
      <c r="I114" s="683">
        <v>4</v>
      </c>
      <c r="J114" s="683">
        <v>15</v>
      </c>
      <c r="K114" s="684" t="s">
        <v>83</v>
      </c>
      <c r="L114" s="682" t="s">
        <v>3</v>
      </c>
      <c r="M114" s="727">
        <v>25251531</v>
      </c>
      <c r="N114" s="722">
        <v>2018011000290</v>
      </c>
      <c r="O114" s="686" t="s">
        <v>2</v>
      </c>
      <c r="P114" s="686" t="s">
        <v>64</v>
      </c>
      <c r="Q114" s="683" t="s">
        <v>66</v>
      </c>
      <c r="R114" s="687">
        <v>0</v>
      </c>
      <c r="S114" s="684" t="s">
        <v>67</v>
      </c>
      <c r="T114" s="684" t="s">
        <v>68</v>
      </c>
      <c r="U114" s="684" t="s">
        <v>69</v>
      </c>
      <c r="V114" s="688">
        <v>3422121</v>
      </c>
      <c r="W114" s="689" t="s">
        <v>70</v>
      </c>
    </row>
    <row r="115" spans="1:23" s="613" customFormat="1" ht="24.95" customHeight="1" x14ac:dyDescent="0.25">
      <c r="A115" s="680">
        <v>86101710</v>
      </c>
      <c r="B115" s="681" t="s">
        <v>58</v>
      </c>
      <c r="C115" s="681" t="s">
        <v>59</v>
      </c>
      <c r="D115" s="681" t="s">
        <v>60</v>
      </c>
      <c r="E115" s="682" t="s">
        <v>86</v>
      </c>
      <c r="F115" s="682" t="s">
        <v>264</v>
      </c>
      <c r="G115" s="683">
        <v>2</v>
      </c>
      <c r="H115" s="683">
        <v>2</v>
      </c>
      <c r="I115" s="683">
        <v>3</v>
      </c>
      <c r="J115" s="683">
        <v>0</v>
      </c>
      <c r="K115" s="684" t="s">
        <v>83</v>
      </c>
      <c r="L115" s="682" t="s">
        <v>3</v>
      </c>
      <c r="M115" s="727">
        <v>15000000</v>
      </c>
      <c r="N115" s="722">
        <v>2018011000290</v>
      </c>
      <c r="O115" s="686" t="s">
        <v>2</v>
      </c>
      <c r="P115" s="686" t="s">
        <v>64</v>
      </c>
      <c r="Q115" s="683" t="s">
        <v>66</v>
      </c>
      <c r="R115" s="687">
        <v>0</v>
      </c>
      <c r="S115" s="684" t="s">
        <v>67</v>
      </c>
      <c r="T115" s="684" t="s">
        <v>68</v>
      </c>
      <c r="U115" s="684" t="s">
        <v>69</v>
      </c>
      <c r="V115" s="688">
        <v>3422121</v>
      </c>
      <c r="W115" s="689" t="s">
        <v>70</v>
      </c>
    </row>
    <row r="116" spans="1:23" s="613" customFormat="1" ht="24.95" customHeight="1" x14ac:dyDescent="0.25">
      <c r="A116" s="680">
        <v>78111503</v>
      </c>
      <c r="B116" s="681" t="s">
        <v>58</v>
      </c>
      <c r="C116" s="681" t="s">
        <v>59</v>
      </c>
      <c r="D116" s="681" t="s">
        <v>60</v>
      </c>
      <c r="E116" s="682" t="s">
        <v>89</v>
      </c>
      <c r="F116" s="682" t="s">
        <v>265</v>
      </c>
      <c r="G116" s="683">
        <v>2</v>
      </c>
      <c r="H116" s="683">
        <v>2</v>
      </c>
      <c r="I116" s="683">
        <v>1</v>
      </c>
      <c r="J116" s="683">
        <v>0</v>
      </c>
      <c r="K116" s="684" t="s">
        <v>83</v>
      </c>
      <c r="L116" s="682" t="s">
        <v>10</v>
      </c>
      <c r="M116" s="727">
        <v>6000000</v>
      </c>
      <c r="N116" s="722">
        <v>2018011000290</v>
      </c>
      <c r="O116" s="686" t="s">
        <v>2</v>
      </c>
      <c r="P116" s="686" t="s">
        <v>78</v>
      </c>
      <c r="Q116" s="683" t="s">
        <v>66</v>
      </c>
      <c r="R116" s="687">
        <v>0</v>
      </c>
      <c r="S116" s="684" t="s">
        <v>67</v>
      </c>
      <c r="T116" s="684" t="s">
        <v>68</v>
      </c>
      <c r="U116" s="684" t="s">
        <v>69</v>
      </c>
      <c r="V116" s="688">
        <v>3422121</v>
      </c>
      <c r="W116" s="689" t="s">
        <v>70</v>
      </c>
    </row>
    <row r="117" spans="1:23" s="613" customFormat="1" ht="24.95" customHeight="1" x14ac:dyDescent="0.25">
      <c r="A117" s="680" t="s">
        <v>266</v>
      </c>
      <c r="B117" s="681" t="s">
        <v>58</v>
      </c>
      <c r="C117" s="681" t="s">
        <v>59</v>
      </c>
      <c r="D117" s="681" t="s">
        <v>60</v>
      </c>
      <c r="E117" s="682" t="s">
        <v>91</v>
      </c>
      <c r="F117" s="682" t="s">
        <v>267</v>
      </c>
      <c r="G117" s="683">
        <v>1</v>
      </c>
      <c r="H117" s="683">
        <v>1</v>
      </c>
      <c r="I117" s="683">
        <v>11</v>
      </c>
      <c r="J117" s="683">
        <v>0</v>
      </c>
      <c r="K117" s="684" t="s">
        <v>83</v>
      </c>
      <c r="L117" s="682" t="s">
        <v>3</v>
      </c>
      <c r="M117" s="727">
        <v>65252484</v>
      </c>
      <c r="N117" s="722">
        <v>2018011000290</v>
      </c>
      <c r="O117" s="686" t="s">
        <v>2</v>
      </c>
      <c r="P117" s="686" t="s">
        <v>64</v>
      </c>
      <c r="Q117" s="683" t="s">
        <v>66</v>
      </c>
      <c r="R117" s="687">
        <v>0</v>
      </c>
      <c r="S117" s="684" t="s">
        <v>67</v>
      </c>
      <c r="T117" s="684" t="s">
        <v>68</v>
      </c>
      <c r="U117" s="684" t="s">
        <v>69</v>
      </c>
      <c r="V117" s="688">
        <v>3422121</v>
      </c>
      <c r="W117" s="689" t="s">
        <v>70</v>
      </c>
    </row>
    <row r="118" spans="1:23" s="613" customFormat="1" ht="24.95" customHeight="1" x14ac:dyDescent="0.25">
      <c r="A118" s="680">
        <v>85121608</v>
      </c>
      <c r="B118" s="681" t="s">
        <v>58</v>
      </c>
      <c r="C118" s="681" t="s">
        <v>59</v>
      </c>
      <c r="D118" s="681" t="s">
        <v>60</v>
      </c>
      <c r="E118" s="682" t="s">
        <v>91</v>
      </c>
      <c r="F118" s="682" t="s">
        <v>268</v>
      </c>
      <c r="G118" s="683">
        <v>2</v>
      </c>
      <c r="H118" s="683">
        <v>2</v>
      </c>
      <c r="I118" s="683">
        <v>10</v>
      </c>
      <c r="J118" s="683">
        <v>0</v>
      </c>
      <c r="K118" s="684" t="s">
        <v>83</v>
      </c>
      <c r="L118" s="682" t="s">
        <v>3</v>
      </c>
      <c r="M118" s="727">
        <v>42408190</v>
      </c>
      <c r="N118" s="722">
        <v>2018011000290</v>
      </c>
      <c r="O118" s="686" t="s">
        <v>2</v>
      </c>
      <c r="P118" s="686" t="s">
        <v>64</v>
      </c>
      <c r="Q118" s="683" t="s">
        <v>66</v>
      </c>
      <c r="R118" s="687">
        <v>0</v>
      </c>
      <c r="S118" s="684" t="s">
        <v>67</v>
      </c>
      <c r="T118" s="684" t="s">
        <v>68</v>
      </c>
      <c r="U118" s="684" t="s">
        <v>69</v>
      </c>
      <c r="V118" s="688">
        <v>3422121</v>
      </c>
      <c r="W118" s="689" t="s">
        <v>70</v>
      </c>
    </row>
    <row r="119" spans="1:23" s="613" customFormat="1" ht="24.95" customHeight="1" x14ac:dyDescent="0.25">
      <c r="A119" s="680">
        <v>86101600</v>
      </c>
      <c r="B119" s="681" t="s">
        <v>58</v>
      </c>
      <c r="C119" s="681" t="s">
        <v>59</v>
      </c>
      <c r="D119" s="681" t="s">
        <v>60</v>
      </c>
      <c r="E119" s="682" t="s">
        <v>91</v>
      </c>
      <c r="F119" s="682" t="s">
        <v>269</v>
      </c>
      <c r="G119" s="683">
        <v>2</v>
      </c>
      <c r="H119" s="683">
        <v>2</v>
      </c>
      <c r="I119" s="683">
        <v>11</v>
      </c>
      <c r="J119" s="683">
        <v>0</v>
      </c>
      <c r="K119" s="684" t="s">
        <v>83</v>
      </c>
      <c r="L119" s="682" t="s">
        <v>10</v>
      </c>
      <c r="M119" s="727">
        <v>4000000</v>
      </c>
      <c r="N119" s="722">
        <v>2018011000290</v>
      </c>
      <c r="O119" s="686" t="s">
        <v>2</v>
      </c>
      <c r="P119" s="686" t="s">
        <v>64</v>
      </c>
      <c r="Q119" s="683" t="s">
        <v>66</v>
      </c>
      <c r="R119" s="687">
        <v>0</v>
      </c>
      <c r="S119" s="684" t="s">
        <v>67</v>
      </c>
      <c r="T119" s="684" t="s">
        <v>68</v>
      </c>
      <c r="U119" s="684" t="s">
        <v>69</v>
      </c>
      <c r="V119" s="688">
        <v>3422121</v>
      </c>
      <c r="W119" s="689" t="s">
        <v>70</v>
      </c>
    </row>
    <row r="120" spans="1:23" s="613" customFormat="1" ht="24.95" customHeight="1" x14ac:dyDescent="0.25">
      <c r="A120" s="680">
        <v>80101507</v>
      </c>
      <c r="B120" s="681" t="s">
        <v>270</v>
      </c>
      <c r="C120" s="681" t="s">
        <v>271</v>
      </c>
      <c r="D120" s="681" t="s">
        <v>203</v>
      </c>
      <c r="E120" s="682" t="s">
        <v>272</v>
      </c>
      <c r="F120" s="682" t="s">
        <v>273</v>
      </c>
      <c r="G120" s="683">
        <v>1</v>
      </c>
      <c r="H120" s="683">
        <v>1</v>
      </c>
      <c r="I120" s="683">
        <v>8</v>
      </c>
      <c r="J120" s="683">
        <v>0</v>
      </c>
      <c r="K120" s="684" t="s">
        <v>83</v>
      </c>
      <c r="L120" s="682" t="s">
        <v>3</v>
      </c>
      <c r="M120" s="727">
        <v>32727273</v>
      </c>
      <c r="N120" s="722">
        <v>2018011000284</v>
      </c>
      <c r="O120" s="686" t="s">
        <v>11</v>
      </c>
      <c r="P120" s="686" t="s">
        <v>205</v>
      </c>
      <c r="Q120" s="683" t="s">
        <v>66</v>
      </c>
      <c r="R120" s="687">
        <v>0</v>
      </c>
      <c r="S120" s="684" t="s">
        <v>67</v>
      </c>
      <c r="T120" s="684" t="s">
        <v>68</v>
      </c>
      <c r="U120" s="684" t="s">
        <v>274</v>
      </c>
      <c r="V120" s="688">
        <v>3422121</v>
      </c>
      <c r="W120" s="689" t="s">
        <v>275</v>
      </c>
    </row>
    <row r="121" spans="1:23" s="613" customFormat="1" ht="24.95" customHeight="1" x14ac:dyDescent="0.25">
      <c r="A121" s="680">
        <v>80101507</v>
      </c>
      <c r="B121" s="681" t="s">
        <v>270</v>
      </c>
      <c r="C121" s="681" t="s">
        <v>271</v>
      </c>
      <c r="D121" s="681" t="s">
        <v>203</v>
      </c>
      <c r="E121" s="682" t="s">
        <v>272</v>
      </c>
      <c r="F121" s="682" t="s">
        <v>273</v>
      </c>
      <c r="G121" s="683">
        <v>1</v>
      </c>
      <c r="H121" s="683">
        <v>1</v>
      </c>
      <c r="I121" s="683">
        <v>3</v>
      </c>
      <c r="J121" s="683">
        <v>0</v>
      </c>
      <c r="K121" s="684" t="s">
        <v>83</v>
      </c>
      <c r="L121" s="682" t="s">
        <v>3</v>
      </c>
      <c r="M121" s="727">
        <v>12272727</v>
      </c>
      <c r="N121" s="722">
        <v>2018011000284</v>
      </c>
      <c r="O121" s="686" t="s">
        <v>11</v>
      </c>
      <c r="P121" s="686" t="s">
        <v>205</v>
      </c>
      <c r="Q121" s="683"/>
      <c r="R121" s="687"/>
      <c r="S121" s="684"/>
      <c r="T121" s="684"/>
      <c r="U121" s="684" t="s">
        <v>274</v>
      </c>
      <c r="V121" s="688"/>
      <c r="W121" s="689"/>
    </row>
    <row r="122" spans="1:23" s="613" customFormat="1" ht="24.95" customHeight="1" x14ac:dyDescent="0.25">
      <c r="A122" s="680">
        <v>80101508</v>
      </c>
      <c r="B122" s="681" t="s">
        <v>270</v>
      </c>
      <c r="C122" s="681" t="s">
        <v>271</v>
      </c>
      <c r="D122" s="681" t="s">
        <v>203</v>
      </c>
      <c r="E122" s="682" t="s">
        <v>276</v>
      </c>
      <c r="F122" s="682" t="s">
        <v>277</v>
      </c>
      <c r="G122" s="683">
        <v>1</v>
      </c>
      <c r="H122" s="683">
        <v>1</v>
      </c>
      <c r="I122" s="683">
        <v>10</v>
      </c>
      <c r="J122" s="683">
        <v>15</v>
      </c>
      <c r="K122" s="684" t="s">
        <v>83</v>
      </c>
      <c r="L122" s="682" t="s">
        <v>3</v>
      </c>
      <c r="M122" s="727">
        <v>9000000</v>
      </c>
      <c r="N122" s="722">
        <v>2018011000284</v>
      </c>
      <c r="O122" s="686" t="s">
        <v>11</v>
      </c>
      <c r="P122" s="686" t="s">
        <v>261</v>
      </c>
      <c r="Q122" s="683" t="s">
        <v>66</v>
      </c>
      <c r="R122" s="687">
        <v>0</v>
      </c>
      <c r="S122" s="684" t="s">
        <v>67</v>
      </c>
      <c r="T122" s="684" t="s">
        <v>68</v>
      </c>
      <c r="U122" s="684" t="s">
        <v>278</v>
      </c>
      <c r="V122" s="688">
        <v>3422121</v>
      </c>
      <c r="W122" s="689" t="s">
        <v>279</v>
      </c>
    </row>
    <row r="123" spans="1:23" s="613" customFormat="1" ht="24.95" customHeight="1" x14ac:dyDescent="0.25">
      <c r="A123" s="680">
        <v>80101508</v>
      </c>
      <c r="B123" s="681" t="s">
        <v>270</v>
      </c>
      <c r="C123" s="681" t="s">
        <v>271</v>
      </c>
      <c r="D123" s="681" t="s">
        <v>203</v>
      </c>
      <c r="E123" s="682" t="s">
        <v>276</v>
      </c>
      <c r="F123" s="682" t="s">
        <v>277</v>
      </c>
      <c r="G123" s="683">
        <v>1</v>
      </c>
      <c r="H123" s="683">
        <v>1</v>
      </c>
      <c r="I123" s="683">
        <v>10</v>
      </c>
      <c r="J123" s="683">
        <v>15</v>
      </c>
      <c r="K123" s="684" t="s">
        <v>83</v>
      </c>
      <c r="L123" s="682" t="s">
        <v>3</v>
      </c>
      <c r="M123" s="727">
        <v>23140526</v>
      </c>
      <c r="N123" s="722">
        <v>2018011000290</v>
      </c>
      <c r="O123" s="686" t="s">
        <v>2</v>
      </c>
      <c r="P123" s="686" t="s">
        <v>78</v>
      </c>
      <c r="Q123" s="683" t="s">
        <v>66</v>
      </c>
      <c r="R123" s="687">
        <v>0</v>
      </c>
      <c r="S123" s="684" t="s">
        <v>67</v>
      </c>
      <c r="T123" s="684" t="s">
        <v>68</v>
      </c>
      <c r="U123" s="684" t="s">
        <v>278</v>
      </c>
      <c r="V123" s="688">
        <v>3422121</v>
      </c>
      <c r="W123" s="689" t="s">
        <v>279</v>
      </c>
    </row>
    <row r="124" spans="1:23" s="613" customFormat="1" ht="24.95" customHeight="1" x14ac:dyDescent="0.25">
      <c r="A124" s="680">
        <v>80101508</v>
      </c>
      <c r="B124" s="681" t="s">
        <v>270</v>
      </c>
      <c r="C124" s="681" t="s">
        <v>271</v>
      </c>
      <c r="D124" s="681" t="s">
        <v>203</v>
      </c>
      <c r="E124" s="682" t="s">
        <v>276</v>
      </c>
      <c r="F124" s="682" t="s">
        <v>277</v>
      </c>
      <c r="G124" s="683">
        <v>1</v>
      </c>
      <c r="H124" s="683">
        <v>1</v>
      </c>
      <c r="I124" s="683">
        <v>10</v>
      </c>
      <c r="J124" s="683">
        <v>15</v>
      </c>
      <c r="K124" s="684" t="s">
        <v>83</v>
      </c>
      <c r="L124" s="682" t="s">
        <v>3</v>
      </c>
      <c r="M124" s="727">
        <v>8859474</v>
      </c>
      <c r="N124" s="722">
        <v>2018011000284</v>
      </c>
      <c r="O124" s="686" t="s">
        <v>11</v>
      </c>
      <c r="P124" s="686" t="s">
        <v>261</v>
      </c>
      <c r="Q124" s="683" t="s">
        <v>66</v>
      </c>
      <c r="R124" s="687">
        <v>0</v>
      </c>
      <c r="S124" s="684" t="s">
        <v>67</v>
      </c>
      <c r="T124" s="684" t="s">
        <v>68</v>
      </c>
      <c r="U124" s="684" t="s">
        <v>278</v>
      </c>
      <c r="V124" s="688">
        <v>3422121</v>
      </c>
      <c r="W124" s="689" t="s">
        <v>279</v>
      </c>
    </row>
    <row r="125" spans="1:23" s="613" customFormat="1" ht="24.95" customHeight="1" x14ac:dyDescent="0.25">
      <c r="A125" s="680" t="s">
        <v>280</v>
      </c>
      <c r="B125" s="681" t="s">
        <v>270</v>
      </c>
      <c r="C125" s="681" t="s">
        <v>270</v>
      </c>
      <c r="D125" s="681" t="s">
        <v>281</v>
      </c>
      <c r="E125" s="682" t="s">
        <v>282</v>
      </c>
      <c r="F125" s="682" t="s">
        <v>283</v>
      </c>
      <c r="G125" s="683">
        <v>1</v>
      </c>
      <c r="H125" s="683">
        <v>1</v>
      </c>
      <c r="I125" s="683">
        <v>7</v>
      </c>
      <c r="J125" s="683">
        <v>1</v>
      </c>
      <c r="K125" s="684" t="s">
        <v>83</v>
      </c>
      <c r="L125" s="682" t="s">
        <v>10</v>
      </c>
      <c r="M125" s="727">
        <v>23104109</v>
      </c>
      <c r="N125" s="722">
        <v>2018011000284</v>
      </c>
      <c r="O125" s="686" t="s">
        <v>11</v>
      </c>
      <c r="P125" s="686" t="s">
        <v>185</v>
      </c>
      <c r="Q125" s="683" t="s">
        <v>66</v>
      </c>
      <c r="R125" s="687">
        <v>0</v>
      </c>
      <c r="S125" s="684" t="s">
        <v>67</v>
      </c>
      <c r="T125" s="684" t="s">
        <v>68</v>
      </c>
      <c r="U125" s="684" t="s">
        <v>284</v>
      </c>
      <c r="V125" s="688">
        <v>3422121</v>
      </c>
      <c r="W125" s="689" t="s">
        <v>285</v>
      </c>
    </row>
    <row r="126" spans="1:23" s="613" customFormat="1" ht="24.95" customHeight="1" x14ac:dyDescent="0.25">
      <c r="A126" s="680" t="s">
        <v>286</v>
      </c>
      <c r="B126" s="681" t="s">
        <v>270</v>
      </c>
      <c r="C126" s="681" t="s">
        <v>270</v>
      </c>
      <c r="D126" s="681" t="s">
        <v>281</v>
      </c>
      <c r="E126" s="682" t="s">
        <v>282</v>
      </c>
      <c r="F126" s="682" t="s">
        <v>283</v>
      </c>
      <c r="G126" s="683">
        <v>1</v>
      </c>
      <c r="H126" s="683">
        <v>1</v>
      </c>
      <c r="I126" s="683">
        <v>7</v>
      </c>
      <c r="J126" s="683">
        <v>1</v>
      </c>
      <c r="K126" s="684" t="s">
        <v>83</v>
      </c>
      <c r="L126" s="682" t="s">
        <v>3</v>
      </c>
      <c r="M126" s="727">
        <v>25895891</v>
      </c>
      <c r="N126" s="722">
        <v>2018011000284</v>
      </c>
      <c r="O126" s="686" t="s">
        <v>11</v>
      </c>
      <c r="P126" s="686" t="s">
        <v>185</v>
      </c>
      <c r="Q126" s="683" t="s">
        <v>66</v>
      </c>
      <c r="R126" s="687">
        <v>0</v>
      </c>
      <c r="S126" s="684" t="s">
        <v>67</v>
      </c>
      <c r="T126" s="684" t="s">
        <v>68</v>
      </c>
      <c r="U126" s="684" t="s">
        <v>284</v>
      </c>
      <c r="V126" s="688">
        <v>3422121</v>
      </c>
      <c r="W126" s="689" t="s">
        <v>285</v>
      </c>
    </row>
    <row r="127" spans="1:23" s="613" customFormat="1" ht="24.95" customHeight="1" x14ac:dyDescent="0.25">
      <c r="A127" s="680">
        <v>81112307</v>
      </c>
      <c r="B127" s="681" t="s">
        <v>270</v>
      </c>
      <c r="C127" s="681" t="s">
        <v>287</v>
      </c>
      <c r="D127" s="681" t="s">
        <v>288</v>
      </c>
      <c r="E127" s="682" t="s">
        <v>289</v>
      </c>
      <c r="F127" s="682" t="s">
        <v>290</v>
      </c>
      <c r="G127" s="683">
        <v>1</v>
      </c>
      <c r="H127" s="683">
        <v>1</v>
      </c>
      <c r="I127" s="683">
        <v>10</v>
      </c>
      <c r="J127" s="683">
        <v>0</v>
      </c>
      <c r="K127" s="684" t="s">
        <v>83</v>
      </c>
      <c r="L127" s="682" t="s">
        <v>3</v>
      </c>
      <c r="M127" s="727">
        <v>22278900</v>
      </c>
      <c r="N127" s="722">
        <v>2018011000284</v>
      </c>
      <c r="O127" s="686" t="s">
        <v>11</v>
      </c>
      <c r="P127" s="686" t="s">
        <v>261</v>
      </c>
      <c r="Q127" s="683" t="s">
        <v>66</v>
      </c>
      <c r="R127" s="687">
        <v>0</v>
      </c>
      <c r="S127" s="684" t="s">
        <v>67</v>
      </c>
      <c r="T127" s="684" t="s">
        <v>68</v>
      </c>
      <c r="U127" s="684" t="s">
        <v>291</v>
      </c>
      <c r="V127" s="688">
        <v>3422121</v>
      </c>
      <c r="W127" s="689" t="s">
        <v>292</v>
      </c>
    </row>
    <row r="128" spans="1:23" s="613" customFormat="1" ht="24.95" customHeight="1" x14ac:dyDescent="0.25">
      <c r="A128" s="680">
        <v>81112307</v>
      </c>
      <c r="B128" s="681" t="s">
        <v>270</v>
      </c>
      <c r="C128" s="681" t="s">
        <v>287</v>
      </c>
      <c r="D128" s="681" t="s">
        <v>288</v>
      </c>
      <c r="E128" s="682" t="s">
        <v>289</v>
      </c>
      <c r="F128" s="682" t="s">
        <v>290</v>
      </c>
      <c r="G128" s="683">
        <v>1</v>
      </c>
      <c r="H128" s="683">
        <v>1</v>
      </c>
      <c r="I128" s="683">
        <v>10</v>
      </c>
      <c r="J128" s="683">
        <v>0</v>
      </c>
      <c r="K128" s="684" t="s">
        <v>83</v>
      </c>
      <c r="L128" s="682" t="s">
        <v>3</v>
      </c>
      <c r="M128" s="727">
        <v>22278900</v>
      </c>
      <c r="N128" s="722">
        <v>2018011000284</v>
      </c>
      <c r="O128" s="686" t="s">
        <v>11</v>
      </c>
      <c r="P128" s="686" t="s">
        <v>261</v>
      </c>
      <c r="Q128" s="683" t="s">
        <v>66</v>
      </c>
      <c r="R128" s="687">
        <v>0</v>
      </c>
      <c r="S128" s="684" t="s">
        <v>67</v>
      </c>
      <c r="T128" s="684" t="s">
        <v>68</v>
      </c>
      <c r="U128" s="684" t="s">
        <v>291</v>
      </c>
      <c r="V128" s="688">
        <v>3422121</v>
      </c>
      <c r="W128" s="689" t="s">
        <v>292</v>
      </c>
    </row>
    <row r="129" spans="1:23" s="613" customFormat="1" ht="24.95" customHeight="1" x14ac:dyDescent="0.25">
      <c r="A129" s="680" t="s">
        <v>293</v>
      </c>
      <c r="B129" s="681" t="s">
        <v>270</v>
      </c>
      <c r="C129" s="681" t="s">
        <v>287</v>
      </c>
      <c r="D129" s="681" t="s">
        <v>288</v>
      </c>
      <c r="E129" s="682" t="s">
        <v>294</v>
      </c>
      <c r="F129" s="682" t="s">
        <v>295</v>
      </c>
      <c r="G129" s="683">
        <v>1</v>
      </c>
      <c r="H129" s="683">
        <v>1</v>
      </c>
      <c r="I129" s="683">
        <v>11</v>
      </c>
      <c r="J129" s="683">
        <v>0</v>
      </c>
      <c r="K129" s="684" t="s">
        <v>83</v>
      </c>
      <c r="L129" s="682" t="s">
        <v>3</v>
      </c>
      <c r="M129" s="727">
        <v>40356184</v>
      </c>
      <c r="N129" s="722">
        <v>2018011000284</v>
      </c>
      <c r="O129" s="686" t="s">
        <v>11</v>
      </c>
      <c r="P129" s="686" t="s">
        <v>261</v>
      </c>
      <c r="Q129" s="683" t="s">
        <v>66</v>
      </c>
      <c r="R129" s="687">
        <v>0</v>
      </c>
      <c r="S129" s="684" t="s">
        <v>67</v>
      </c>
      <c r="T129" s="684" t="s">
        <v>68</v>
      </c>
      <c r="U129" s="684" t="s">
        <v>291</v>
      </c>
      <c r="V129" s="688">
        <v>3422121</v>
      </c>
      <c r="W129" s="689" t="s">
        <v>292</v>
      </c>
    </row>
    <row r="130" spans="1:23" s="613" customFormat="1" ht="24.95" customHeight="1" x14ac:dyDescent="0.25">
      <c r="A130" s="680">
        <v>81111603</v>
      </c>
      <c r="B130" s="681" t="s">
        <v>270</v>
      </c>
      <c r="C130" s="681" t="s">
        <v>287</v>
      </c>
      <c r="D130" s="681" t="s">
        <v>288</v>
      </c>
      <c r="E130" s="682" t="s">
        <v>294</v>
      </c>
      <c r="F130" s="682" t="s">
        <v>296</v>
      </c>
      <c r="G130" s="683">
        <v>1</v>
      </c>
      <c r="H130" s="683">
        <v>1</v>
      </c>
      <c r="I130" s="683">
        <v>10</v>
      </c>
      <c r="J130" s="683">
        <v>0</v>
      </c>
      <c r="K130" s="684" t="s">
        <v>83</v>
      </c>
      <c r="L130" s="682" t="s">
        <v>3</v>
      </c>
      <c r="M130" s="727">
        <v>19927757</v>
      </c>
      <c r="N130" s="722">
        <v>2018011000284</v>
      </c>
      <c r="O130" s="686" t="s">
        <v>11</v>
      </c>
      <c r="P130" s="686" t="s">
        <v>261</v>
      </c>
      <c r="Q130" s="683" t="s">
        <v>66</v>
      </c>
      <c r="R130" s="687">
        <v>0</v>
      </c>
      <c r="S130" s="684" t="s">
        <v>67</v>
      </c>
      <c r="T130" s="684" t="s">
        <v>68</v>
      </c>
      <c r="U130" s="684" t="s">
        <v>291</v>
      </c>
      <c r="V130" s="688">
        <v>3422121</v>
      </c>
      <c r="W130" s="689" t="s">
        <v>292</v>
      </c>
    </row>
    <row r="131" spans="1:23" s="613" customFormat="1" ht="24.95" customHeight="1" x14ac:dyDescent="0.25">
      <c r="A131" s="680" t="s">
        <v>297</v>
      </c>
      <c r="B131" s="681" t="s">
        <v>270</v>
      </c>
      <c r="C131" s="681" t="s">
        <v>287</v>
      </c>
      <c r="D131" s="681" t="s">
        <v>288</v>
      </c>
      <c r="E131" s="682" t="s">
        <v>294</v>
      </c>
      <c r="F131" s="682" t="s">
        <v>298</v>
      </c>
      <c r="G131" s="683">
        <v>1</v>
      </c>
      <c r="H131" s="683">
        <v>1</v>
      </c>
      <c r="I131" s="683">
        <v>10</v>
      </c>
      <c r="J131" s="683">
        <v>0</v>
      </c>
      <c r="K131" s="684" t="s">
        <v>83</v>
      </c>
      <c r="L131" s="682" t="s">
        <v>3</v>
      </c>
      <c r="M131" s="727">
        <v>39000000</v>
      </c>
      <c r="N131" s="722">
        <v>2018011000284</v>
      </c>
      <c r="O131" s="686" t="s">
        <v>11</v>
      </c>
      <c r="P131" s="686" t="s">
        <v>261</v>
      </c>
      <c r="Q131" s="683" t="s">
        <v>66</v>
      </c>
      <c r="R131" s="687">
        <v>0</v>
      </c>
      <c r="S131" s="684" t="s">
        <v>67</v>
      </c>
      <c r="T131" s="684" t="s">
        <v>68</v>
      </c>
      <c r="U131" s="684" t="s">
        <v>291</v>
      </c>
      <c r="V131" s="688">
        <v>3422121</v>
      </c>
      <c r="W131" s="689" t="s">
        <v>292</v>
      </c>
    </row>
    <row r="132" spans="1:23" s="613" customFormat="1" ht="24.95" customHeight="1" x14ac:dyDescent="0.25">
      <c r="A132" s="680">
        <v>81111802</v>
      </c>
      <c r="B132" s="681" t="s">
        <v>270</v>
      </c>
      <c r="C132" s="681" t="s">
        <v>287</v>
      </c>
      <c r="D132" s="681" t="s">
        <v>288</v>
      </c>
      <c r="E132" s="682" t="s">
        <v>299</v>
      </c>
      <c r="F132" s="682" t="s">
        <v>300</v>
      </c>
      <c r="G132" s="683">
        <v>1</v>
      </c>
      <c r="H132" s="683">
        <v>1</v>
      </c>
      <c r="I132" s="683">
        <v>10</v>
      </c>
      <c r="J132" s="683">
        <v>0</v>
      </c>
      <c r="K132" s="684" t="s">
        <v>83</v>
      </c>
      <c r="L132" s="682" t="s">
        <v>3</v>
      </c>
      <c r="M132" s="727">
        <v>51581230</v>
      </c>
      <c r="N132" s="722">
        <v>2018011000284</v>
      </c>
      <c r="O132" s="686" t="s">
        <v>11</v>
      </c>
      <c r="P132" s="686" t="s">
        <v>261</v>
      </c>
      <c r="Q132" s="683" t="s">
        <v>66</v>
      </c>
      <c r="R132" s="687">
        <v>0</v>
      </c>
      <c r="S132" s="684" t="s">
        <v>67</v>
      </c>
      <c r="T132" s="684" t="s">
        <v>68</v>
      </c>
      <c r="U132" s="684" t="s">
        <v>291</v>
      </c>
      <c r="V132" s="688">
        <v>3422121</v>
      </c>
      <c r="W132" s="689" t="s">
        <v>292</v>
      </c>
    </row>
    <row r="133" spans="1:23" s="613" customFormat="1" ht="24.95" customHeight="1" x14ac:dyDescent="0.25">
      <c r="A133" s="680" t="s">
        <v>297</v>
      </c>
      <c r="B133" s="681" t="s">
        <v>270</v>
      </c>
      <c r="C133" s="681" t="s">
        <v>287</v>
      </c>
      <c r="D133" s="681" t="s">
        <v>288</v>
      </c>
      <c r="E133" s="682" t="s">
        <v>301</v>
      </c>
      <c r="F133" s="682" t="s">
        <v>302</v>
      </c>
      <c r="G133" s="683">
        <v>1</v>
      </c>
      <c r="H133" s="683">
        <v>1</v>
      </c>
      <c r="I133" s="683">
        <v>8</v>
      </c>
      <c r="J133" s="683">
        <v>0</v>
      </c>
      <c r="K133" s="684" t="s">
        <v>83</v>
      </c>
      <c r="L133" s="682" t="s">
        <v>3</v>
      </c>
      <c r="M133" s="727">
        <v>0</v>
      </c>
      <c r="N133" s="722">
        <v>2018011000290</v>
      </c>
      <c r="O133" s="686" t="s">
        <v>2</v>
      </c>
      <c r="P133" s="686" t="s">
        <v>78</v>
      </c>
      <c r="Q133" s="683" t="s">
        <v>66</v>
      </c>
      <c r="R133" s="687">
        <v>0</v>
      </c>
      <c r="S133" s="684" t="s">
        <v>67</v>
      </c>
      <c r="T133" s="684" t="s">
        <v>68</v>
      </c>
      <c r="U133" s="684" t="s">
        <v>291</v>
      </c>
      <c r="V133" s="688">
        <v>3422121</v>
      </c>
      <c r="W133" s="689" t="s">
        <v>292</v>
      </c>
    </row>
    <row r="134" spans="1:23" s="613" customFormat="1" ht="24.95" customHeight="1" x14ac:dyDescent="0.25">
      <c r="A134" s="680" t="s">
        <v>297</v>
      </c>
      <c r="B134" s="681" t="s">
        <v>270</v>
      </c>
      <c r="C134" s="681" t="s">
        <v>287</v>
      </c>
      <c r="D134" s="681" t="s">
        <v>288</v>
      </c>
      <c r="E134" s="682" t="s">
        <v>301</v>
      </c>
      <c r="F134" s="682" t="s">
        <v>302</v>
      </c>
      <c r="G134" s="683">
        <v>1</v>
      </c>
      <c r="H134" s="683">
        <v>1</v>
      </c>
      <c r="I134" s="683">
        <v>0</v>
      </c>
      <c r="J134" s="683">
        <v>0</v>
      </c>
      <c r="K134" s="684" t="s">
        <v>83</v>
      </c>
      <c r="L134" s="682" t="s">
        <v>3</v>
      </c>
      <c r="M134" s="727">
        <v>0</v>
      </c>
      <c r="N134" s="722">
        <v>2018011000284</v>
      </c>
      <c r="O134" s="686" t="s">
        <v>11</v>
      </c>
      <c r="P134" s="686" t="s">
        <v>261</v>
      </c>
      <c r="Q134" s="683" t="s">
        <v>66</v>
      </c>
      <c r="R134" s="687">
        <v>0</v>
      </c>
      <c r="S134" s="684" t="s">
        <v>67</v>
      </c>
      <c r="T134" s="684" t="s">
        <v>68</v>
      </c>
      <c r="U134" s="684" t="s">
        <v>291</v>
      </c>
      <c r="V134" s="688">
        <v>3422121</v>
      </c>
      <c r="W134" s="689" t="s">
        <v>292</v>
      </c>
    </row>
    <row r="135" spans="1:23" s="613" customFormat="1" ht="24.95" customHeight="1" x14ac:dyDescent="0.25">
      <c r="A135" s="680" t="s">
        <v>303</v>
      </c>
      <c r="B135" s="681" t="s">
        <v>270</v>
      </c>
      <c r="C135" s="681" t="s">
        <v>287</v>
      </c>
      <c r="D135" s="681" t="s">
        <v>288</v>
      </c>
      <c r="E135" s="682" t="s">
        <v>294</v>
      </c>
      <c r="F135" s="682" t="s">
        <v>304</v>
      </c>
      <c r="G135" s="683">
        <v>1</v>
      </c>
      <c r="H135" s="683">
        <v>1</v>
      </c>
      <c r="I135" s="683">
        <v>11</v>
      </c>
      <c r="J135" s="683">
        <v>0</v>
      </c>
      <c r="K135" s="684" t="s">
        <v>83</v>
      </c>
      <c r="L135" s="682" t="s">
        <v>3</v>
      </c>
      <c r="M135" s="727">
        <v>50252686</v>
      </c>
      <c r="N135" s="722">
        <v>2018011000290</v>
      </c>
      <c r="O135" s="686" t="s">
        <v>2</v>
      </c>
      <c r="P135" s="686" t="s">
        <v>120</v>
      </c>
      <c r="Q135" s="683" t="s">
        <v>66</v>
      </c>
      <c r="R135" s="687">
        <v>0</v>
      </c>
      <c r="S135" s="684" t="s">
        <v>67</v>
      </c>
      <c r="T135" s="684" t="s">
        <v>68</v>
      </c>
      <c r="U135" s="684" t="s">
        <v>291</v>
      </c>
      <c r="V135" s="688">
        <v>3422121</v>
      </c>
      <c r="W135" s="689" t="s">
        <v>292</v>
      </c>
    </row>
    <row r="136" spans="1:23" s="613" customFormat="1" ht="24.95" customHeight="1" x14ac:dyDescent="0.25">
      <c r="A136" s="680" t="s">
        <v>297</v>
      </c>
      <c r="B136" s="681" t="s">
        <v>270</v>
      </c>
      <c r="C136" s="681" t="s">
        <v>287</v>
      </c>
      <c r="D136" s="681" t="s">
        <v>288</v>
      </c>
      <c r="E136" s="682" t="s">
        <v>294</v>
      </c>
      <c r="F136" s="682" t="s">
        <v>305</v>
      </c>
      <c r="G136" s="683">
        <v>1</v>
      </c>
      <c r="H136" s="683">
        <v>1</v>
      </c>
      <c r="I136" s="683">
        <v>8</v>
      </c>
      <c r="J136" s="683">
        <v>0</v>
      </c>
      <c r="K136" s="684" t="s">
        <v>83</v>
      </c>
      <c r="L136" s="682" t="s">
        <v>3</v>
      </c>
      <c r="M136" s="727">
        <v>32000000</v>
      </c>
      <c r="N136" s="722">
        <v>2018011000290</v>
      </c>
      <c r="O136" s="686" t="s">
        <v>2</v>
      </c>
      <c r="P136" s="686" t="s">
        <v>78</v>
      </c>
      <c r="Q136" s="683" t="s">
        <v>66</v>
      </c>
      <c r="R136" s="687">
        <v>0</v>
      </c>
      <c r="S136" s="684" t="s">
        <v>67</v>
      </c>
      <c r="T136" s="684" t="s">
        <v>68</v>
      </c>
      <c r="U136" s="684" t="s">
        <v>291</v>
      </c>
      <c r="V136" s="688">
        <v>3422121</v>
      </c>
      <c r="W136" s="689" t="s">
        <v>292</v>
      </c>
    </row>
    <row r="137" spans="1:23" s="613" customFormat="1" ht="24.95" customHeight="1" x14ac:dyDescent="0.25">
      <c r="A137" s="680" t="s">
        <v>297</v>
      </c>
      <c r="B137" s="681" t="s">
        <v>270</v>
      </c>
      <c r="C137" s="681" t="s">
        <v>287</v>
      </c>
      <c r="D137" s="681" t="s">
        <v>288</v>
      </c>
      <c r="E137" s="682" t="s">
        <v>306</v>
      </c>
      <c r="F137" s="682" t="s">
        <v>307</v>
      </c>
      <c r="G137" s="683">
        <v>1</v>
      </c>
      <c r="H137" s="683">
        <v>1</v>
      </c>
      <c r="I137" s="683">
        <v>8</v>
      </c>
      <c r="J137" s="683">
        <v>0</v>
      </c>
      <c r="K137" s="684" t="s">
        <v>83</v>
      </c>
      <c r="L137" s="682" t="s">
        <v>3</v>
      </c>
      <c r="M137" s="727">
        <v>28506916</v>
      </c>
      <c r="N137" s="722">
        <v>2018011000284</v>
      </c>
      <c r="O137" s="686" t="s">
        <v>11</v>
      </c>
      <c r="P137" s="686" t="s">
        <v>205</v>
      </c>
      <c r="Q137" s="683" t="s">
        <v>66</v>
      </c>
      <c r="R137" s="687">
        <v>0</v>
      </c>
      <c r="S137" s="684" t="s">
        <v>67</v>
      </c>
      <c r="T137" s="684" t="s">
        <v>68</v>
      </c>
      <c r="U137" s="684" t="s">
        <v>291</v>
      </c>
      <c r="V137" s="688">
        <v>3422121</v>
      </c>
      <c r="W137" s="689" t="s">
        <v>292</v>
      </c>
    </row>
    <row r="138" spans="1:23" s="613" customFormat="1" ht="24.95" customHeight="1" x14ac:dyDescent="0.25">
      <c r="A138" s="680" t="s">
        <v>297</v>
      </c>
      <c r="B138" s="681" t="s">
        <v>270</v>
      </c>
      <c r="C138" s="681" t="s">
        <v>287</v>
      </c>
      <c r="D138" s="681" t="s">
        <v>288</v>
      </c>
      <c r="E138" s="682" t="s">
        <v>306</v>
      </c>
      <c r="F138" s="682" t="s">
        <v>307</v>
      </c>
      <c r="G138" s="683">
        <v>1</v>
      </c>
      <c r="H138" s="683">
        <v>1</v>
      </c>
      <c r="I138" s="683">
        <v>8</v>
      </c>
      <c r="J138" s="683">
        <v>0</v>
      </c>
      <c r="K138" s="684" t="s">
        <v>83</v>
      </c>
      <c r="L138" s="682" t="s">
        <v>3</v>
      </c>
      <c r="M138" s="727">
        <v>3493084</v>
      </c>
      <c r="N138" s="722">
        <v>2018011000290</v>
      </c>
      <c r="O138" s="686" t="s">
        <v>2</v>
      </c>
      <c r="P138" s="686" t="s">
        <v>78</v>
      </c>
      <c r="Q138" s="683" t="s">
        <v>66</v>
      </c>
      <c r="R138" s="687">
        <v>0</v>
      </c>
      <c r="S138" s="684" t="s">
        <v>67</v>
      </c>
      <c r="T138" s="684" t="s">
        <v>68</v>
      </c>
      <c r="U138" s="684" t="s">
        <v>291</v>
      </c>
      <c r="V138" s="688">
        <v>3422121</v>
      </c>
      <c r="W138" s="689" t="s">
        <v>292</v>
      </c>
    </row>
    <row r="139" spans="1:23" s="613" customFormat="1" ht="24.95" customHeight="1" x14ac:dyDescent="0.25">
      <c r="A139" s="680" t="s">
        <v>308</v>
      </c>
      <c r="B139" s="681" t="s">
        <v>270</v>
      </c>
      <c r="C139" s="681" t="s">
        <v>287</v>
      </c>
      <c r="D139" s="681" t="s">
        <v>288</v>
      </c>
      <c r="E139" s="682" t="s">
        <v>294</v>
      </c>
      <c r="F139" s="682" t="s">
        <v>309</v>
      </c>
      <c r="G139" s="683">
        <v>1</v>
      </c>
      <c r="H139" s="683">
        <v>1</v>
      </c>
      <c r="I139" s="683">
        <v>11</v>
      </c>
      <c r="J139" s="683">
        <v>0</v>
      </c>
      <c r="K139" s="684" t="s">
        <v>83</v>
      </c>
      <c r="L139" s="682" t="s">
        <v>3</v>
      </c>
      <c r="M139" s="727">
        <v>40000000</v>
      </c>
      <c r="N139" s="722">
        <v>2018011000290</v>
      </c>
      <c r="O139" s="686" t="s">
        <v>2</v>
      </c>
      <c r="P139" s="686" t="s">
        <v>120</v>
      </c>
      <c r="Q139" s="683" t="s">
        <v>66</v>
      </c>
      <c r="R139" s="687">
        <v>0</v>
      </c>
      <c r="S139" s="684" t="s">
        <v>67</v>
      </c>
      <c r="T139" s="684" t="s">
        <v>68</v>
      </c>
      <c r="U139" s="684" t="s">
        <v>291</v>
      </c>
      <c r="V139" s="688">
        <v>3422121</v>
      </c>
      <c r="W139" s="689" t="s">
        <v>292</v>
      </c>
    </row>
    <row r="140" spans="1:23" s="613" customFormat="1" ht="24.95" customHeight="1" x14ac:dyDescent="0.25">
      <c r="A140" s="680">
        <v>81112501</v>
      </c>
      <c r="B140" s="681" t="s">
        <v>270</v>
      </c>
      <c r="C140" s="681" t="s">
        <v>287</v>
      </c>
      <c r="D140" s="681" t="s">
        <v>288</v>
      </c>
      <c r="E140" s="682" t="s">
        <v>310</v>
      </c>
      <c r="F140" s="682" t="s">
        <v>311</v>
      </c>
      <c r="G140" s="683">
        <v>7</v>
      </c>
      <c r="H140" s="683">
        <v>7</v>
      </c>
      <c r="I140" s="683">
        <v>3</v>
      </c>
      <c r="J140" s="683">
        <v>0</v>
      </c>
      <c r="K140" s="684" t="s">
        <v>312</v>
      </c>
      <c r="L140" s="682" t="s">
        <v>3</v>
      </c>
      <c r="M140" s="727">
        <v>28000000</v>
      </c>
      <c r="N140" s="722">
        <v>2018011000284</v>
      </c>
      <c r="O140" s="686" t="s">
        <v>11</v>
      </c>
      <c r="P140" s="686" t="s">
        <v>185</v>
      </c>
      <c r="Q140" s="683" t="s">
        <v>66</v>
      </c>
      <c r="R140" s="687">
        <v>0</v>
      </c>
      <c r="S140" s="684" t="s">
        <v>67</v>
      </c>
      <c r="T140" s="684" t="s">
        <v>68</v>
      </c>
      <c r="U140" s="684" t="s">
        <v>291</v>
      </c>
      <c r="V140" s="688">
        <v>3422121</v>
      </c>
      <c r="W140" s="689" t="s">
        <v>292</v>
      </c>
    </row>
    <row r="141" spans="1:23" s="613" customFormat="1" ht="24.95" customHeight="1" x14ac:dyDescent="0.25">
      <c r="A141" s="680" t="s">
        <v>313</v>
      </c>
      <c r="B141" s="681" t="s">
        <v>270</v>
      </c>
      <c r="C141" s="681" t="s">
        <v>287</v>
      </c>
      <c r="D141" s="681" t="s">
        <v>288</v>
      </c>
      <c r="E141" s="682" t="s">
        <v>314</v>
      </c>
      <c r="F141" s="682" t="s">
        <v>315</v>
      </c>
      <c r="G141" s="683">
        <v>8</v>
      </c>
      <c r="H141" s="683">
        <v>8</v>
      </c>
      <c r="I141" s="683">
        <v>3</v>
      </c>
      <c r="J141" s="683">
        <v>0</v>
      </c>
      <c r="K141" s="684" t="s">
        <v>154</v>
      </c>
      <c r="L141" s="682" t="s">
        <v>3</v>
      </c>
      <c r="M141" s="727">
        <v>10000000</v>
      </c>
      <c r="N141" s="722">
        <v>2018011000284</v>
      </c>
      <c r="O141" s="686" t="s">
        <v>11</v>
      </c>
      <c r="P141" s="686" t="s">
        <v>185</v>
      </c>
      <c r="Q141" s="683" t="s">
        <v>66</v>
      </c>
      <c r="R141" s="687">
        <v>0</v>
      </c>
      <c r="S141" s="684" t="s">
        <v>67</v>
      </c>
      <c r="T141" s="684" t="s">
        <v>68</v>
      </c>
      <c r="U141" s="684" t="s">
        <v>291</v>
      </c>
      <c r="V141" s="688">
        <v>3422121</v>
      </c>
      <c r="W141" s="689" t="s">
        <v>292</v>
      </c>
    </row>
    <row r="142" spans="1:23" s="613" customFormat="1" ht="24.95" customHeight="1" x14ac:dyDescent="0.25">
      <c r="A142" s="680" t="s">
        <v>313</v>
      </c>
      <c r="B142" s="681" t="s">
        <v>270</v>
      </c>
      <c r="C142" s="681" t="s">
        <v>287</v>
      </c>
      <c r="D142" s="681" t="s">
        <v>288</v>
      </c>
      <c r="E142" s="682" t="s">
        <v>314</v>
      </c>
      <c r="F142" s="682" t="s">
        <v>315</v>
      </c>
      <c r="G142" s="683">
        <v>8</v>
      </c>
      <c r="H142" s="683">
        <v>8</v>
      </c>
      <c r="I142" s="683">
        <v>3</v>
      </c>
      <c r="J142" s="683">
        <v>0</v>
      </c>
      <c r="K142" s="684" t="s">
        <v>154</v>
      </c>
      <c r="L142" s="682" t="s">
        <v>3</v>
      </c>
      <c r="M142" s="727">
        <v>5000000</v>
      </c>
      <c r="N142" s="722">
        <v>2018011000284</v>
      </c>
      <c r="O142" s="686" t="s">
        <v>11</v>
      </c>
      <c r="P142" s="686" t="s">
        <v>185</v>
      </c>
      <c r="Q142" s="683" t="s">
        <v>66</v>
      </c>
      <c r="R142" s="687">
        <v>0</v>
      </c>
      <c r="S142" s="684" t="s">
        <v>67</v>
      </c>
      <c r="T142" s="684" t="s">
        <v>68</v>
      </c>
      <c r="U142" s="684" t="s">
        <v>291</v>
      </c>
      <c r="V142" s="688">
        <v>3422121</v>
      </c>
      <c r="W142" s="689" t="s">
        <v>292</v>
      </c>
    </row>
    <row r="143" spans="1:23" s="613" customFormat="1" ht="24.95" customHeight="1" x14ac:dyDescent="0.25">
      <c r="A143" s="680">
        <v>81112501</v>
      </c>
      <c r="B143" s="681" t="s">
        <v>270</v>
      </c>
      <c r="C143" s="681" t="s">
        <v>287</v>
      </c>
      <c r="D143" s="681" t="s">
        <v>288</v>
      </c>
      <c r="E143" s="682" t="s">
        <v>316</v>
      </c>
      <c r="F143" s="682" t="s">
        <v>317</v>
      </c>
      <c r="G143" s="683">
        <v>9</v>
      </c>
      <c r="H143" s="683">
        <v>9</v>
      </c>
      <c r="I143" s="683">
        <v>3</v>
      </c>
      <c r="J143" s="683">
        <v>0</v>
      </c>
      <c r="K143" s="684" t="s">
        <v>318</v>
      </c>
      <c r="L143" s="682" t="s">
        <v>3</v>
      </c>
      <c r="M143" s="727">
        <v>49719132</v>
      </c>
      <c r="N143" s="722">
        <v>2018011000284</v>
      </c>
      <c r="O143" s="686" t="s">
        <v>11</v>
      </c>
      <c r="P143" s="686" t="s">
        <v>185</v>
      </c>
      <c r="Q143" s="683" t="s">
        <v>66</v>
      </c>
      <c r="R143" s="687">
        <v>0</v>
      </c>
      <c r="S143" s="684" t="s">
        <v>67</v>
      </c>
      <c r="T143" s="684" t="s">
        <v>68</v>
      </c>
      <c r="U143" s="684" t="s">
        <v>291</v>
      </c>
      <c r="V143" s="688">
        <v>3422121</v>
      </c>
      <c r="W143" s="689" t="s">
        <v>292</v>
      </c>
    </row>
    <row r="144" spans="1:23" s="613" customFormat="1" ht="24.95" customHeight="1" x14ac:dyDescent="0.25">
      <c r="A144" s="680">
        <v>43233201</v>
      </c>
      <c r="B144" s="681" t="s">
        <v>270</v>
      </c>
      <c r="C144" s="681" t="s">
        <v>287</v>
      </c>
      <c r="D144" s="681" t="s">
        <v>288</v>
      </c>
      <c r="E144" s="682" t="s">
        <v>319</v>
      </c>
      <c r="F144" s="682" t="s">
        <v>320</v>
      </c>
      <c r="G144" s="683">
        <v>10</v>
      </c>
      <c r="H144" s="683">
        <v>10</v>
      </c>
      <c r="I144" s="683">
        <v>3</v>
      </c>
      <c r="J144" s="683">
        <v>0</v>
      </c>
      <c r="K144" s="684" t="s">
        <v>154</v>
      </c>
      <c r="L144" s="682" t="s">
        <v>3</v>
      </c>
      <c r="M144" s="727">
        <v>4000000</v>
      </c>
      <c r="N144" s="722">
        <v>2018011000284</v>
      </c>
      <c r="O144" s="686" t="s">
        <v>11</v>
      </c>
      <c r="P144" s="686" t="s">
        <v>185</v>
      </c>
      <c r="Q144" s="683" t="s">
        <v>66</v>
      </c>
      <c r="R144" s="687">
        <v>0</v>
      </c>
      <c r="S144" s="684" t="s">
        <v>67</v>
      </c>
      <c r="T144" s="684" t="s">
        <v>68</v>
      </c>
      <c r="U144" s="684" t="s">
        <v>291</v>
      </c>
      <c r="V144" s="688">
        <v>3422121</v>
      </c>
      <c r="W144" s="689" t="s">
        <v>292</v>
      </c>
    </row>
    <row r="145" spans="1:23" s="613" customFormat="1" ht="24.95" customHeight="1" x14ac:dyDescent="0.25">
      <c r="A145" s="680" t="s">
        <v>321</v>
      </c>
      <c r="B145" s="681" t="s">
        <v>270</v>
      </c>
      <c r="C145" s="681" t="s">
        <v>287</v>
      </c>
      <c r="D145" s="681" t="s">
        <v>288</v>
      </c>
      <c r="E145" s="682" t="s">
        <v>322</v>
      </c>
      <c r="F145" s="682" t="s">
        <v>323</v>
      </c>
      <c r="G145" s="683">
        <v>5</v>
      </c>
      <c r="H145" s="683">
        <v>5</v>
      </c>
      <c r="I145" s="683">
        <v>7</v>
      </c>
      <c r="J145" s="683">
        <v>0</v>
      </c>
      <c r="K145" s="684" t="s">
        <v>154</v>
      </c>
      <c r="L145" s="682" t="s">
        <v>3</v>
      </c>
      <c r="M145" s="727">
        <v>13000000</v>
      </c>
      <c r="N145" s="722">
        <v>2018011000284</v>
      </c>
      <c r="O145" s="686" t="s">
        <v>11</v>
      </c>
      <c r="P145" s="686" t="s">
        <v>185</v>
      </c>
      <c r="Q145" s="683" t="s">
        <v>66</v>
      </c>
      <c r="R145" s="687">
        <v>0</v>
      </c>
      <c r="S145" s="684" t="s">
        <v>67</v>
      </c>
      <c r="T145" s="684" t="s">
        <v>68</v>
      </c>
      <c r="U145" s="684" t="s">
        <v>291</v>
      </c>
      <c r="V145" s="688">
        <v>3422121</v>
      </c>
      <c r="W145" s="689" t="s">
        <v>292</v>
      </c>
    </row>
    <row r="146" spans="1:23" s="613" customFormat="1" ht="24.95" customHeight="1" x14ac:dyDescent="0.25">
      <c r="A146" s="680">
        <v>81112306</v>
      </c>
      <c r="B146" s="681" t="s">
        <v>270</v>
      </c>
      <c r="C146" s="681" t="s">
        <v>287</v>
      </c>
      <c r="D146" s="681" t="s">
        <v>288</v>
      </c>
      <c r="E146" s="682" t="s">
        <v>324</v>
      </c>
      <c r="F146" s="682" t="s">
        <v>325</v>
      </c>
      <c r="G146" s="683">
        <v>6</v>
      </c>
      <c r="H146" s="683">
        <v>6</v>
      </c>
      <c r="I146" s="683">
        <v>6</v>
      </c>
      <c r="J146" s="683">
        <v>0</v>
      </c>
      <c r="K146" s="684" t="s">
        <v>154</v>
      </c>
      <c r="L146" s="682" t="s">
        <v>3</v>
      </c>
      <c r="M146" s="727">
        <v>16000000</v>
      </c>
      <c r="N146" s="722">
        <v>2018011000284</v>
      </c>
      <c r="O146" s="686" t="s">
        <v>11</v>
      </c>
      <c r="P146" s="686" t="s">
        <v>185</v>
      </c>
      <c r="Q146" s="683" t="s">
        <v>66</v>
      </c>
      <c r="R146" s="687">
        <v>0</v>
      </c>
      <c r="S146" s="684" t="s">
        <v>67</v>
      </c>
      <c r="T146" s="684" t="s">
        <v>68</v>
      </c>
      <c r="U146" s="684" t="s">
        <v>291</v>
      </c>
      <c r="V146" s="688">
        <v>3422121</v>
      </c>
      <c r="W146" s="689" t="s">
        <v>292</v>
      </c>
    </row>
    <row r="147" spans="1:23" s="613" customFormat="1" ht="24.95" customHeight="1" x14ac:dyDescent="0.25">
      <c r="A147" s="680">
        <v>80111621</v>
      </c>
      <c r="B147" s="681" t="s">
        <v>58</v>
      </c>
      <c r="C147" s="681" t="s">
        <v>94</v>
      </c>
      <c r="D147" s="681" t="s">
        <v>94</v>
      </c>
      <c r="E147" s="682" t="s">
        <v>326</v>
      </c>
      <c r="F147" s="682" t="s">
        <v>326</v>
      </c>
      <c r="G147" s="683">
        <v>1</v>
      </c>
      <c r="H147" s="683"/>
      <c r="I147" s="683">
        <v>10</v>
      </c>
      <c r="J147" s="683">
        <v>0</v>
      </c>
      <c r="K147" s="684" t="s">
        <v>83</v>
      </c>
      <c r="L147" s="682" t="s">
        <v>3</v>
      </c>
      <c r="M147" s="727">
        <v>38856615</v>
      </c>
      <c r="N147" s="722">
        <v>2018011000290</v>
      </c>
      <c r="O147" s="686" t="s">
        <v>2</v>
      </c>
      <c r="P147" s="686" t="s">
        <v>97</v>
      </c>
      <c r="Q147" s="683" t="s">
        <v>66</v>
      </c>
      <c r="R147" s="687">
        <v>0</v>
      </c>
      <c r="S147" s="684" t="s">
        <v>67</v>
      </c>
      <c r="T147" s="684" t="s">
        <v>68</v>
      </c>
      <c r="U147" s="684" t="s">
        <v>99</v>
      </c>
      <c r="V147" s="688">
        <v>3422121</v>
      </c>
      <c r="W147" s="689" t="s">
        <v>100</v>
      </c>
    </row>
    <row r="148" spans="1:23" s="613" customFormat="1" ht="24.95" customHeight="1" x14ac:dyDescent="0.25">
      <c r="A148" s="680" t="s">
        <v>327</v>
      </c>
      <c r="B148" s="681" t="s">
        <v>58</v>
      </c>
      <c r="C148" s="681" t="s">
        <v>94</v>
      </c>
      <c r="D148" s="681" t="s">
        <v>94</v>
      </c>
      <c r="E148" s="682" t="s">
        <v>328</v>
      </c>
      <c r="F148" s="682" t="s">
        <v>328</v>
      </c>
      <c r="G148" s="683">
        <v>1</v>
      </c>
      <c r="H148" s="683"/>
      <c r="I148" s="683">
        <v>11</v>
      </c>
      <c r="J148" s="683">
        <v>15</v>
      </c>
      <c r="K148" s="684" t="s">
        <v>83</v>
      </c>
      <c r="L148" s="682" t="s">
        <v>3</v>
      </c>
      <c r="M148" s="727">
        <v>71069692</v>
      </c>
      <c r="N148" s="722">
        <v>2018011000290</v>
      </c>
      <c r="O148" s="686" t="s">
        <v>2</v>
      </c>
      <c r="P148" s="686" t="s">
        <v>97</v>
      </c>
      <c r="Q148" s="683" t="s">
        <v>66</v>
      </c>
      <c r="R148" s="687">
        <v>0</v>
      </c>
      <c r="S148" s="684" t="s">
        <v>67</v>
      </c>
      <c r="T148" s="684" t="s">
        <v>68</v>
      </c>
      <c r="U148" s="684" t="s">
        <v>99</v>
      </c>
      <c r="V148" s="688">
        <v>3422121</v>
      </c>
      <c r="W148" s="689" t="s">
        <v>100</v>
      </c>
    </row>
    <row r="149" spans="1:23" s="613" customFormat="1" ht="24.95" customHeight="1" x14ac:dyDescent="0.25">
      <c r="A149" s="680">
        <v>80111621</v>
      </c>
      <c r="B149" s="681" t="s">
        <v>58</v>
      </c>
      <c r="C149" s="681" t="s">
        <v>94</v>
      </c>
      <c r="D149" s="681" t="s">
        <v>94</v>
      </c>
      <c r="E149" s="682" t="s">
        <v>329</v>
      </c>
      <c r="F149" s="682" t="s">
        <v>330</v>
      </c>
      <c r="G149" s="683">
        <v>1</v>
      </c>
      <c r="H149" s="683"/>
      <c r="I149" s="683">
        <v>10</v>
      </c>
      <c r="J149" s="683">
        <v>0</v>
      </c>
      <c r="K149" s="684" t="s">
        <v>83</v>
      </c>
      <c r="L149" s="682" t="s">
        <v>3</v>
      </c>
      <c r="M149" s="727">
        <v>29484000</v>
      </c>
      <c r="N149" s="722">
        <v>2018011000290</v>
      </c>
      <c r="O149" s="686" t="s">
        <v>2</v>
      </c>
      <c r="P149" s="686" t="s">
        <v>97</v>
      </c>
      <c r="Q149" s="683" t="s">
        <v>66</v>
      </c>
      <c r="R149" s="687">
        <v>0</v>
      </c>
      <c r="S149" s="684" t="s">
        <v>67</v>
      </c>
      <c r="T149" s="684" t="s">
        <v>68</v>
      </c>
      <c r="U149" s="684" t="s">
        <v>99</v>
      </c>
      <c r="V149" s="688">
        <v>3422121</v>
      </c>
      <c r="W149" s="689" t="s">
        <v>100</v>
      </c>
    </row>
    <row r="150" spans="1:23" s="613" customFormat="1" ht="24.95" customHeight="1" x14ac:dyDescent="0.25">
      <c r="A150" s="680">
        <v>80111621</v>
      </c>
      <c r="B150" s="681" t="s">
        <v>58</v>
      </c>
      <c r="C150" s="681" t="s">
        <v>94</v>
      </c>
      <c r="D150" s="681" t="s">
        <v>94</v>
      </c>
      <c r="E150" s="682" t="s">
        <v>329</v>
      </c>
      <c r="F150" s="682" t="s">
        <v>331</v>
      </c>
      <c r="G150" s="683">
        <v>1</v>
      </c>
      <c r="H150" s="683"/>
      <c r="I150" s="683">
        <v>10</v>
      </c>
      <c r="J150" s="683">
        <v>0</v>
      </c>
      <c r="K150" s="684" t="s">
        <v>83</v>
      </c>
      <c r="L150" s="682" t="s">
        <v>3</v>
      </c>
      <c r="M150" s="727">
        <v>14000000</v>
      </c>
      <c r="N150" s="722">
        <v>2018011000290</v>
      </c>
      <c r="O150" s="686" t="s">
        <v>2</v>
      </c>
      <c r="P150" s="686" t="s">
        <v>97</v>
      </c>
      <c r="Q150" s="683" t="s">
        <v>66</v>
      </c>
      <c r="R150" s="687">
        <v>0</v>
      </c>
      <c r="S150" s="684" t="s">
        <v>67</v>
      </c>
      <c r="T150" s="684" t="s">
        <v>68</v>
      </c>
      <c r="U150" s="684" t="s">
        <v>99</v>
      </c>
      <c r="V150" s="688">
        <v>3422121</v>
      </c>
      <c r="W150" s="689" t="s">
        <v>100</v>
      </c>
    </row>
    <row r="151" spans="1:23" s="613" customFormat="1" ht="24.95" customHeight="1" x14ac:dyDescent="0.25">
      <c r="A151" s="680">
        <v>80111621</v>
      </c>
      <c r="B151" s="681" t="s">
        <v>58</v>
      </c>
      <c r="C151" s="681" t="s">
        <v>94</v>
      </c>
      <c r="D151" s="681" t="s">
        <v>94</v>
      </c>
      <c r="E151" s="682" t="s">
        <v>329</v>
      </c>
      <c r="F151" s="682" t="s">
        <v>332</v>
      </c>
      <c r="G151" s="683">
        <v>2</v>
      </c>
      <c r="H151" s="683"/>
      <c r="I151" s="683">
        <v>4</v>
      </c>
      <c r="J151" s="683">
        <v>0</v>
      </c>
      <c r="K151" s="684" t="s">
        <v>83</v>
      </c>
      <c r="L151" s="682" t="s">
        <v>3</v>
      </c>
      <c r="M151" s="727">
        <v>4800000</v>
      </c>
      <c r="N151" s="722">
        <v>2018011000290</v>
      </c>
      <c r="O151" s="686" t="s">
        <v>2</v>
      </c>
      <c r="P151" s="686" t="s">
        <v>97</v>
      </c>
      <c r="Q151" s="683" t="s">
        <v>66</v>
      </c>
      <c r="R151" s="687">
        <v>0</v>
      </c>
      <c r="S151" s="684" t="s">
        <v>67</v>
      </c>
      <c r="T151" s="684" t="s">
        <v>68</v>
      </c>
      <c r="U151" s="684" t="s">
        <v>99</v>
      </c>
      <c r="V151" s="688">
        <v>3422121</v>
      </c>
      <c r="W151" s="689" t="s">
        <v>100</v>
      </c>
    </row>
    <row r="152" spans="1:23" s="613" customFormat="1" ht="24.95" customHeight="1" x14ac:dyDescent="0.25">
      <c r="A152" s="680">
        <v>80111621</v>
      </c>
      <c r="B152" s="681" t="s">
        <v>58</v>
      </c>
      <c r="C152" s="681" t="s">
        <v>94</v>
      </c>
      <c r="D152" s="681" t="s">
        <v>94</v>
      </c>
      <c r="E152" s="682" t="s">
        <v>333</v>
      </c>
      <c r="F152" s="682" t="s">
        <v>334</v>
      </c>
      <c r="G152" s="683">
        <v>2</v>
      </c>
      <c r="H152" s="683"/>
      <c r="I152" s="683">
        <v>10</v>
      </c>
      <c r="J152" s="683">
        <v>0</v>
      </c>
      <c r="K152" s="684" t="s">
        <v>83</v>
      </c>
      <c r="L152" s="682" t="s">
        <v>3</v>
      </c>
      <c r="M152" s="727">
        <v>18720000</v>
      </c>
      <c r="N152" s="722">
        <v>2018011000290</v>
      </c>
      <c r="O152" s="686" t="s">
        <v>2</v>
      </c>
      <c r="P152" s="686" t="s">
        <v>97</v>
      </c>
      <c r="Q152" s="683" t="s">
        <v>66</v>
      </c>
      <c r="R152" s="687">
        <v>0</v>
      </c>
      <c r="S152" s="684" t="s">
        <v>67</v>
      </c>
      <c r="T152" s="684" t="s">
        <v>68</v>
      </c>
      <c r="U152" s="684" t="s">
        <v>99</v>
      </c>
      <c r="V152" s="688">
        <v>3422121</v>
      </c>
      <c r="W152" s="689" t="s">
        <v>100</v>
      </c>
    </row>
    <row r="153" spans="1:23" s="613" customFormat="1" ht="24.95" customHeight="1" x14ac:dyDescent="0.25">
      <c r="A153" s="680">
        <v>80111621</v>
      </c>
      <c r="B153" s="681" t="s">
        <v>58</v>
      </c>
      <c r="C153" s="681" t="s">
        <v>94</v>
      </c>
      <c r="D153" s="681" t="s">
        <v>94</v>
      </c>
      <c r="E153" s="682" t="s">
        <v>333</v>
      </c>
      <c r="F153" s="682" t="s">
        <v>335</v>
      </c>
      <c r="G153" s="683">
        <v>2</v>
      </c>
      <c r="H153" s="683"/>
      <c r="I153" s="683">
        <v>5</v>
      </c>
      <c r="J153" s="683">
        <v>0</v>
      </c>
      <c r="K153" s="684" t="s">
        <v>83</v>
      </c>
      <c r="L153" s="682" t="s">
        <v>3</v>
      </c>
      <c r="M153" s="727">
        <v>9360000</v>
      </c>
      <c r="N153" s="722">
        <v>2018011000290</v>
      </c>
      <c r="O153" s="686" t="s">
        <v>2</v>
      </c>
      <c r="P153" s="686" t="s">
        <v>97</v>
      </c>
      <c r="Q153" s="683" t="s">
        <v>66</v>
      </c>
      <c r="R153" s="687">
        <v>0</v>
      </c>
      <c r="S153" s="684" t="s">
        <v>67</v>
      </c>
      <c r="T153" s="684" t="s">
        <v>68</v>
      </c>
      <c r="U153" s="684" t="s">
        <v>99</v>
      </c>
      <c r="V153" s="688">
        <v>3422121</v>
      </c>
      <c r="W153" s="689" t="s">
        <v>100</v>
      </c>
    </row>
    <row r="154" spans="1:23" s="613" customFormat="1" ht="24.95" customHeight="1" x14ac:dyDescent="0.25">
      <c r="A154" s="680">
        <v>80111621</v>
      </c>
      <c r="B154" s="681" t="s">
        <v>58</v>
      </c>
      <c r="C154" s="681" t="s">
        <v>94</v>
      </c>
      <c r="D154" s="681" t="s">
        <v>94</v>
      </c>
      <c r="E154" s="682" t="s">
        <v>336</v>
      </c>
      <c r="F154" s="682" t="s">
        <v>337</v>
      </c>
      <c r="G154" s="683">
        <v>1</v>
      </c>
      <c r="H154" s="683"/>
      <c r="I154" s="683">
        <v>10</v>
      </c>
      <c r="J154" s="683">
        <v>0</v>
      </c>
      <c r="K154" s="684" t="s">
        <v>83</v>
      </c>
      <c r="L154" s="682" t="s">
        <v>3</v>
      </c>
      <c r="M154" s="727">
        <v>48404374</v>
      </c>
      <c r="N154" s="722">
        <v>2018011000290</v>
      </c>
      <c r="O154" s="686" t="s">
        <v>2</v>
      </c>
      <c r="P154" s="686" t="s">
        <v>97</v>
      </c>
      <c r="Q154" s="683" t="s">
        <v>66</v>
      </c>
      <c r="R154" s="687">
        <v>0</v>
      </c>
      <c r="S154" s="684" t="s">
        <v>67</v>
      </c>
      <c r="T154" s="684" t="s">
        <v>68</v>
      </c>
      <c r="U154" s="684" t="s">
        <v>99</v>
      </c>
      <c r="V154" s="688">
        <v>3422121</v>
      </c>
      <c r="W154" s="689" t="s">
        <v>100</v>
      </c>
    </row>
    <row r="155" spans="1:23" s="613" customFormat="1" ht="24.95" customHeight="1" x14ac:dyDescent="0.25">
      <c r="A155" s="680">
        <v>80111621</v>
      </c>
      <c r="B155" s="681" t="s">
        <v>58</v>
      </c>
      <c r="C155" s="681" t="s">
        <v>94</v>
      </c>
      <c r="D155" s="681" t="s">
        <v>94</v>
      </c>
      <c r="E155" s="682" t="s">
        <v>339</v>
      </c>
      <c r="F155" s="682" t="s">
        <v>330</v>
      </c>
      <c r="G155" s="683">
        <v>1</v>
      </c>
      <c r="H155" s="683"/>
      <c r="I155" s="683">
        <v>10</v>
      </c>
      <c r="J155" s="683">
        <v>0</v>
      </c>
      <c r="K155" s="684" t="s">
        <v>83</v>
      </c>
      <c r="L155" s="682" t="s">
        <v>3</v>
      </c>
      <c r="M155" s="727">
        <v>28922400</v>
      </c>
      <c r="N155" s="722">
        <v>2018011000290</v>
      </c>
      <c r="O155" s="686" t="s">
        <v>2</v>
      </c>
      <c r="P155" s="686" t="s">
        <v>97</v>
      </c>
      <c r="Q155" s="683" t="s">
        <v>66</v>
      </c>
      <c r="R155" s="687">
        <v>0</v>
      </c>
      <c r="S155" s="684" t="s">
        <v>67</v>
      </c>
      <c r="T155" s="684" t="s">
        <v>68</v>
      </c>
      <c r="U155" s="684" t="s">
        <v>99</v>
      </c>
      <c r="V155" s="688">
        <v>3422121</v>
      </c>
      <c r="W155" s="689" t="s">
        <v>100</v>
      </c>
    </row>
    <row r="156" spans="1:23" s="613" customFormat="1" ht="24.95" customHeight="1" x14ac:dyDescent="0.25">
      <c r="A156" s="680">
        <v>60103600</v>
      </c>
      <c r="B156" s="681" t="s">
        <v>58</v>
      </c>
      <c r="C156" s="681" t="s">
        <v>94</v>
      </c>
      <c r="D156" s="681" t="s">
        <v>94</v>
      </c>
      <c r="E156" s="682" t="s">
        <v>341</v>
      </c>
      <c r="F156" s="682" t="s">
        <v>342</v>
      </c>
      <c r="G156" s="683">
        <v>1</v>
      </c>
      <c r="H156" s="683"/>
      <c r="I156" s="683">
        <v>0</v>
      </c>
      <c r="J156" s="683">
        <v>0</v>
      </c>
      <c r="K156" s="684" t="s">
        <v>83</v>
      </c>
      <c r="L156" s="682" t="s">
        <v>3</v>
      </c>
      <c r="M156" s="727">
        <v>500000</v>
      </c>
      <c r="N156" s="722">
        <v>2018011000290</v>
      </c>
      <c r="O156" s="686" t="s">
        <v>2</v>
      </c>
      <c r="P156" s="686" t="s">
        <v>97</v>
      </c>
      <c r="Q156" s="683" t="s">
        <v>66</v>
      </c>
      <c r="R156" s="687">
        <v>0</v>
      </c>
      <c r="S156" s="684" t="s">
        <v>67</v>
      </c>
      <c r="T156" s="684" t="s">
        <v>68</v>
      </c>
      <c r="U156" s="684" t="s">
        <v>99</v>
      </c>
      <c r="V156" s="688">
        <v>3422121</v>
      </c>
      <c r="W156" s="689" t="s">
        <v>100</v>
      </c>
    </row>
    <row r="157" spans="1:23" s="613" customFormat="1" ht="24.95" customHeight="1" x14ac:dyDescent="0.25">
      <c r="A157" s="680">
        <v>60103600</v>
      </c>
      <c r="B157" s="681" t="s">
        <v>58</v>
      </c>
      <c r="C157" s="681" t="s">
        <v>94</v>
      </c>
      <c r="D157" s="681" t="s">
        <v>94</v>
      </c>
      <c r="E157" s="682" t="s">
        <v>343</v>
      </c>
      <c r="F157" s="682" t="s">
        <v>344</v>
      </c>
      <c r="G157" s="683">
        <v>1</v>
      </c>
      <c r="H157" s="683"/>
      <c r="I157" s="683">
        <v>0</v>
      </c>
      <c r="J157" s="683">
        <v>0</v>
      </c>
      <c r="K157" s="684" t="s">
        <v>83</v>
      </c>
      <c r="L157" s="682" t="s">
        <v>10</v>
      </c>
      <c r="M157" s="727">
        <v>500000</v>
      </c>
      <c r="N157" s="722">
        <v>2018011000290</v>
      </c>
      <c r="O157" s="686" t="s">
        <v>2</v>
      </c>
      <c r="P157" s="686" t="s">
        <v>78</v>
      </c>
      <c r="Q157" s="683" t="s">
        <v>66</v>
      </c>
      <c r="R157" s="687">
        <v>0</v>
      </c>
      <c r="S157" s="684" t="s">
        <v>67</v>
      </c>
      <c r="T157" s="684" t="s">
        <v>68</v>
      </c>
      <c r="U157" s="684" t="s">
        <v>99</v>
      </c>
      <c r="V157" s="688">
        <v>3422121</v>
      </c>
      <c r="W157" s="689" t="s">
        <v>100</v>
      </c>
    </row>
    <row r="158" spans="1:23" s="613" customFormat="1" ht="24.95" customHeight="1" x14ac:dyDescent="0.25">
      <c r="A158" s="680" t="s">
        <v>346</v>
      </c>
      <c r="B158" s="681" t="s">
        <v>58</v>
      </c>
      <c r="C158" s="681" t="s">
        <v>94</v>
      </c>
      <c r="D158" s="681" t="s">
        <v>94</v>
      </c>
      <c r="E158" s="682" t="s">
        <v>347</v>
      </c>
      <c r="F158" s="682" t="s">
        <v>331</v>
      </c>
      <c r="G158" s="683">
        <v>1</v>
      </c>
      <c r="H158" s="683"/>
      <c r="I158" s="683">
        <v>10</v>
      </c>
      <c r="J158" s="683">
        <v>0</v>
      </c>
      <c r="K158" s="684" t="s">
        <v>83</v>
      </c>
      <c r="L158" s="682" t="s">
        <v>3</v>
      </c>
      <c r="M158" s="727">
        <v>26120075</v>
      </c>
      <c r="N158" s="722">
        <v>2018011000290</v>
      </c>
      <c r="O158" s="686" t="s">
        <v>2</v>
      </c>
      <c r="P158" s="686" t="s">
        <v>97</v>
      </c>
      <c r="Q158" s="683" t="s">
        <v>66</v>
      </c>
      <c r="R158" s="687">
        <v>0</v>
      </c>
      <c r="S158" s="684" t="s">
        <v>67</v>
      </c>
      <c r="T158" s="684" t="s">
        <v>68</v>
      </c>
      <c r="U158" s="684" t="s">
        <v>99</v>
      </c>
      <c r="V158" s="688">
        <v>3422121</v>
      </c>
      <c r="W158" s="689" t="s">
        <v>100</v>
      </c>
    </row>
    <row r="159" spans="1:23" s="613" customFormat="1" ht="24.95" customHeight="1" x14ac:dyDescent="0.25">
      <c r="A159" s="680">
        <v>60103600</v>
      </c>
      <c r="B159" s="681" t="s">
        <v>58</v>
      </c>
      <c r="C159" s="681" t="s">
        <v>94</v>
      </c>
      <c r="D159" s="681" t="s">
        <v>94</v>
      </c>
      <c r="E159" s="682" t="s">
        <v>348</v>
      </c>
      <c r="F159" s="682" t="s">
        <v>349</v>
      </c>
      <c r="G159" s="683">
        <v>1</v>
      </c>
      <c r="H159" s="683"/>
      <c r="I159" s="683">
        <v>0</v>
      </c>
      <c r="J159" s="683">
        <v>0</v>
      </c>
      <c r="K159" s="684" t="s">
        <v>83</v>
      </c>
      <c r="L159" s="682" t="s">
        <v>10</v>
      </c>
      <c r="M159" s="727">
        <v>1200000</v>
      </c>
      <c r="N159" s="722">
        <v>2018011000290</v>
      </c>
      <c r="O159" s="686" t="s">
        <v>2</v>
      </c>
      <c r="P159" s="686" t="s">
        <v>78</v>
      </c>
      <c r="Q159" s="683" t="s">
        <v>66</v>
      </c>
      <c r="R159" s="687">
        <v>0</v>
      </c>
      <c r="S159" s="684" t="s">
        <v>67</v>
      </c>
      <c r="T159" s="684" t="s">
        <v>68</v>
      </c>
      <c r="U159" s="684" t="s">
        <v>99</v>
      </c>
      <c r="V159" s="688">
        <v>3422121</v>
      </c>
      <c r="W159" s="689" t="s">
        <v>100</v>
      </c>
    </row>
    <row r="160" spans="1:23" s="613" customFormat="1" ht="24.95" customHeight="1" x14ac:dyDescent="0.25">
      <c r="A160" s="680">
        <v>80111621</v>
      </c>
      <c r="B160" s="681" t="s">
        <v>58</v>
      </c>
      <c r="C160" s="681" t="s">
        <v>94</v>
      </c>
      <c r="D160" s="681" t="s">
        <v>94</v>
      </c>
      <c r="E160" s="682" t="s">
        <v>351</v>
      </c>
      <c r="F160" s="682" t="s">
        <v>352</v>
      </c>
      <c r="G160" s="683">
        <v>1</v>
      </c>
      <c r="H160" s="683"/>
      <c r="I160" s="683">
        <v>10</v>
      </c>
      <c r="J160" s="683">
        <v>0</v>
      </c>
      <c r="K160" s="684" t="s">
        <v>83</v>
      </c>
      <c r="L160" s="682" t="s">
        <v>3</v>
      </c>
      <c r="M160" s="727">
        <v>50373180</v>
      </c>
      <c r="N160" s="722">
        <v>2018011000290</v>
      </c>
      <c r="O160" s="686" t="s">
        <v>2</v>
      </c>
      <c r="P160" s="686" t="s">
        <v>97</v>
      </c>
      <c r="Q160" s="683" t="s">
        <v>66</v>
      </c>
      <c r="R160" s="687">
        <v>0</v>
      </c>
      <c r="S160" s="684" t="s">
        <v>67</v>
      </c>
      <c r="T160" s="684" t="s">
        <v>68</v>
      </c>
      <c r="U160" s="684" t="s">
        <v>99</v>
      </c>
      <c r="V160" s="688">
        <v>3422121</v>
      </c>
      <c r="W160" s="689" t="s">
        <v>100</v>
      </c>
    </row>
    <row r="161" spans="1:23" s="613" customFormat="1" ht="24.95" customHeight="1" x14ac:dyDescent="0.25">
      <c r="A161" s="680">
        <v>80111621</v>
      </c>
      <c r="B161" s="681" t="s">
        <v>58</v>
      </c>
      <c r="C161" s="681" t="s">
        <v>94</v>
      </c>
      <c r="D161" s="681" t="s">
        <v>94</v>
      </c>
      <c r="E161" s="682" t="s">
        <v>351</v>
      </c>
      <c r="F161" s="682" t="s">
        <v>354</v>
      </c>
      <c r="G161" s="683">
        <v>1</v>
      </c>
      <c r="H161" s="683"/>
      <c r="I161" s="683">
        <v>0</v>
      </c>
      <c r="J161" s="683">
        <v>0</v>
      </c>
      <c r="K161" s="684" t="s">
        <v>83</v>
      </c>
      <c r="L161" s="682" t="s">
        <v>3</v>
      </c>
      <c r="M161" s="727">
        <v>8000000</v>
      </c>
      <c r="N161" s="722">
        <v>2018011000290</v>
      </c>
      <c r="O161" s="686" t="s">
        <v>2</v>
      </c>
      <c r="P161" s="686" t="s">
        <v>97</v>
      </c>
      <c r="Q161" s="683" t="s">
        <v>66</v>
      </c>
      <c r="R161" s="687">
        <v>0</v>
      </c>
      <c r="S161" s="684" t="s">
        <v>67</v>
      </c>
      <c r="T161" s="684" t="s">
        <v>68</v>
      </c>
      <c r="U161" s="684" t="s">
        <v>99</v>
      </c>
      <c r="V161" s="688">
        <v>3422121</v>
      </c>
      <c r="W161" s="689" t="s">
        <v>100</v>
      </c>
    </row>
    <row r="162" spans="1:23" s="613" customFormat="1" ht="24.95" customHeight="1" x14ac:dyDescent="0.25">
      <c r="A162" s="680">
        <v>60103600</v>
      </c>
      <c r="B162" s="681" t="s">
        <v>58</v>
      </c>
      <c r="C162" s="681" t="s">
        <v>94</v>
      </c>
      <c r="D162" s="681" t="s">
        <v>94</v>
      </c>
      <c r="E162" s="682" t="s">
        <v>356</v>
      </c>
      <c r="F162" s="682" t="s">
        <v>357</v>
      </c>
      <c r="G162" s="683"/>
      <c r="H162" s="683"/>
      <c r="I162" s="683">
        <v>0</v>
      </c>
      <c r="J162" s="683">
        <v>0</v>
      </c>
      <c r="K162" s="684" t="s">
        <v>83</v>
      </c>
      <c r="L162" s="682" t="s">
        <v>10</v>
      </c>
      <c r="M162" s="727">
        <v>1000000</v>
      </c>
      <c r="N162" s="722">
        <v>2018011000290</v>
      </c>
      <c r="O162" s="686" t="s">
        <v>2</v>
      </c>
      <c r="P162" s="686" t="s">
        <v>97</v>
      </c>
      <c r="Q162" s="683" t="s">
        <v>66</v>
      </c>
      <c r="R162" s="687">
        <v>0</v>
      </c>
      <c r="S162" s="684" t="s">
        <v>67</v>
      </c>
      <c r="T162" s="684" t="s">
        <v>68</v>
      </c>
      <c r="U162" s="684" t="s">
        <v>99</v>
      </c>
      <c r="V162" s="688">
        <v>3422121</v>
      </c>
      <c r="W162" s="689" t="s">
        <v>100</v>
      </c>
    </row>
    <row r="163" spans="1:23" s="613" customFormat="1" ht="24.95" customHeight="1" x14ac:dyDescent="0.25">
      <c r="A163" s="680">
        <v>80111621</v>
      </c>
      <c r="B163" s="681" t="s">
        <v>58</v>
      </c>
      <c r="C163" s="681" t="s">
        <v>94</v>
      </c>
      <c r="D163" s="681" t="s">
        <v>94</v>
      </c>
      <c r="E163" s="682" t="s">
        <v>358</v>
      </c>
      <c r="F163" s="682" t="s">
        <v>331</v>
      </c>
      <c r="G163" s="683">
        <v>1</v>
      </c>
      <c r="H163" s="683"/>
      <c r="I163" s="683">
        <v>4</v>
      </c>
      <c r="J163" s="683">
        <v>0</v>
      </c>
      <c r="K163" s="684" t="s">
        <v>83</v>
      </c>
      <c r="L163" s="682" t="s">
        <v>3</v>
      </c>
      <c r="M163" s="727">
        <v>4000000</v>
      </c>
      <c r="N163" s="722">
        <v>2018011000290</v>
      </c>
      <c r="O163" s="686" t="s">
        <v>2</v>
      </c>
      <c r="P163" s="686" t="s">
        <v>97</v>
      </c>
      <c r="Q163" s="683" t="s">
        <v>66</v>
      </c>
      <c r="R163" s="687">
        <v>0</v>
      </c>
      <c r="S163" s="684" t="s">
        <v>67</v>
      </c>
      <c r="T163" s="684" t="s">
        <v>68</v>
      </c>
      <c r="U163" s="684" t="s">
        <v>99</v>
      </c>
      <c r="V163" s="688">
        <v>3422121</v>
      </c>
      <c r="W163" s="689" t="s">
        <v>100</v>
      </c>
    </row>
    <row r="164" spans="1:23" s="613" customFormat="1" ht="24.95" customHeight="1" x14ac:dyDescent="0.25">
      <c r="A164" s="680">
        <v>80111621</v>
      </c>
      <c r="B164" s="681" t="s">
        <v>58</v>
      </c>
      <c r="C164" s="681" t="s">
        <v>94</v>
      </c>
      <c r="D164" s="681" t="s">
        <v>94</v>
      </c>
      <c r="E164" s="682" t="s">
        <v>358</v>
      </c>
      <c r="F164" s="682" t="s">
        <v>331</v>
      </c>
      <c r="G164" s="683">
        <v>1</v>
      </c>
      <c r="H164" s="683"/>
      <c r="I164" s="683">
        <v>4</v>
      </c>
      <c r="J164" s="683">
        <v>0</v>
      </c>
      <c r="K164" s="684" t="s">
        <v>83</v>
      </c>
      <c r="L164" s="682" t="s">
        <v>3</v>
      </c>
      <c r="M164" s="727">
        <v>4000000</v>
      </c>
      <c r="N164" s="722">
        <v>2018011000290</v>
      </c>
      <c r="O164" s="686" t="s">
        <v>2</v>
      </c>
      <c r="P164" s="686" t="s">
        <v>97</v>
      </c>
      <c r="Q164" s="683" t="s">
        <v>66</v>
      </c>
      <c r="R164" s="687">
        <v>0</v>
      </c>
      <c r="S164" s="684" t="s">
        <v>67</v>
      </c>
      <c r="T164" s="684" t="s">
        <v>68</v>
      </c>
      <c r="U164" s="684" t="s">
        <v>99</v>
      </c>
      <c r="V164" s="688">
        <v>3422121</v>
      </c>
      <c r="W164" s="689" t="s">
        <v>100</v>
      </c>
    </row>
    <row r="165" spans="1:23" s="613" customFormat="1" ht="24.95" customHeight="1" x14ac:dyDescent="0.25">
      <c r="A165" s="680">
        <v>80111601</v>
      </c>
      <c r="B165" s="681" t="s">
        <v>58</v>
      </c>
      <c r="C165" s="681" t="s">
        <v>94</v>
      </c>
      <c r="D165" s="681" t="s">
        <v>94</v>
      </c>
      <c r="E165" s="682" t="s">
        <v>360</v>
      </c>
      <c r="F165" s="682" t="s">
        <v>331</v>
      </c>
      <c r="G165" s="683">
        <v>1</v>
      </c>
      <c r="H165" s="683"/>
      <c r="I165" s="683">
        <v>10</v>
      </c>
      <c r="J165" s="683">
        <v>0</v>
      </c>
      <c r="K165" s="684" t="s">
        <v>83</v>
      </c>
      <c r="L165" s="682" t="s">
        <v>3</v>
      </c>
      <c r="M165" s="727">
        <v>28080000</v>
      </c>
      <c r="N165" s="722">
        <v>2018011000290</v>
      </c>
      <c r="O165" s="686" t="s">
        <v>2</v>
      </c>
      <c r="P165" s="686" t="s">
        <v>97</v>
      </c>
      <c r="Q165" s="683" t="s">
        <v>66</v>
      </c>
      <c r="R165" s="687">
        <v>0</v>
      </c>
      <c r="S165" s="684" t="s">
        <v>67</v>
      </c>
      <c r="T165" s="684" t="s">
        <v>68</v>
      </c>
      <c r="U165" s="684" t="s">
        <v>99</v>
      </c>
      <c r="V165" s="688">
        <v>3422121</v>
      </c>
      <c r="W165" s="689" t="s">
        <v>100</v>
      </c>
    </row>
    <row r="166" spans="1:23" s="613" customFormat="1" ht="24.95" customHeight="1" x14ac:dyDescent="0.25">
      <c r="A166" s="680">
        <v>60103600</v>
      </c>
      <c r="B166" s="681" t="s">
        <v>58</v>
      </c>
      <c r="C166" s="681" t="s">
        <v>94</v>
      </c>
      <c r="D166" s="681" t="s">
        <v>94</v>
      </c>
      <c r="E166" s="682" t="s">
        <v>362</v>
      </c>
      <c r="F166" s="682" t="s">
        <v>363</v>
      </c>
      <c r="G166" s="683">
        <v>1</v>
      </c>
      <c r="H166" s="683"/>
      <c r="I166" s="683">
        <v>0</v>
      </c>
      <c r="J166" s="683">
        <v>0</v>
      </c>
      <c r="K166" s="684" t="s">
        <v>83</v>
      </c>
      <c r="L166" s="682" t="s">
        <v>10</v>
      </c>
      <c r="M166" s="727">
        <v>1000000</v>
      </c>
      <c r="N166" s="722">
        <v>2018011000290</v>
      </c>
      <c r="O166" s="686" t="s">
        <v>2</v>
      </c>
      <c r="P166" s="686" t="s">
        <v>97</v>
      </c>
      <c r="Q166" s="683" t="s">
        <v>66</v>
      </c>
      <c r="R166" s="687">
        <v>0</v>
      </c>
      <c r="S166" s="684" t="s">
        <v>67</v>
      </c>
      <c r="T166" s="684" t="s">
        <v>68</v>
      </c>
      <c r="U166" s="684" t="s">
        <v>99</v>
      </c>
      <c r="V166" s="688">
        <v>3422121</v>
      </c>
      <c r="W166" s="689" t="s">
        <v>100</v>
      </c>
    </row>
    <row r="167" spans="1:23" s="613" customFormat="1" ht="24.95" customHeight="1" x14ac:dyDescent="0.25">
      <c r="A167" s="680">
        <v>60103600</v>
      </c>
      <c r="B167" s="681" t="s">
        <v>58</v>
      </c>
      <c r="C167" s="681" t="s">
        <v>94</v>
      </c>
      <c r="D167" s="681" t="s">
        <v>94</v>
      </c>
      <c r="E167" s="682" t="s">
        <v>364</v>
      </c>
      <c r="F167" s="682" t="s">
        <v>365</v>
      </c>
      <c r="G167" s="683">
        <v>6</v>
      </c>
      <c r="H167" s="683"/>
      <c r="I167" s="683">
        <v>0</v>
      </c>
      <c r="J167" s="683">
        <v>0</v>
      </c>
      <c r="K167" s="684" t="s">
        <v>83</v>
      </c>
      <c r="L167" s="682" t="s">
        <v>10</v>
      </c>
      <c r="M167" s="727">
        <v>390000</v>
      </c>
      <c r="N167" s="722">
        <v>2018011000290</v>
      </c>
      <c r="O167" s="686" t="s">
        <v>2</v>
      </c>
      <c r="P167" s="686" t="s">
        <v>78</v>
      </c>
      <c r="Q167" s="683" t="s">
        <v>66</v>
      </c>
      <c r="R167" s="687">
        <v>0</v>
      </c>
      <c r="S167" s="684" t="s">
        <v>67</v>
      </c>
      <c r="T167" s="684" t="s">
        <v>68</v>
      </c>
      <c r="U167" s="684" t="s">
        <v>99</v>
      </c>
      <c r="V167" s="688">
        <v>3422121</v>
      </c>
      <c r="W167" s="689" t="s">
        <v>100</v>
      </c>
    </row>
    <row r="168" spans="1:23" s="613" customFormat="1" ht="24.95" customHeight="1" x14ac:dyDescent="0.25">
      <c r="A168" s="680">
        <v>80111621</v>
      </c>
      <c r="B168" s="681" t="s">
        <v>58</v>
      </c>
      <c r="C168" s="681" t="s">
        <v>94</v>
      </c>
      <c r="D168" s="681" t="s">
        <v>94</v>
      </c>
      <c r="E168" s="682" t="s">
        <v>366</v>
      </c>
      <c r="F168" s="682" t="s">
        <v>367</v>
      </c>
      <c r="G168" s="683">
        <v>1</v>
      </c>
      <c r="H168" s="683"/>
      <c r="I168" s="683">
        <v>10</v>
      </c>
      <c r="J168" s="683">
        <v>0</v>
      </c>
      <c r="K168" s="684" t="s">
        <v>83</v>
      </c>
      <c r="L168" s="682" t="s">
        <v>3</v>
      </c>
      <c r="M168" s="727">
        <v>30644200</v>
      </c>
      <c r="N168" s="722">
        <v>2018011000290</v>
      </c>
      <c r="O168" s="686" t="s">
        <v>2</v>
      </c>
      <c r="P168" s="686" t="s">
        <v>97</v>
      </c>
      <c r="Q168" s="683" t="s">
        <v>66</v>
      </c>
      <c r="R168" s="687">
        <v>0</v>
      </c>
      <c r="S168" s="684" t="s">
        <v>67</v>
      </c>
      <c r="T168" s="684" t="s">
        <v>68</v>
      </c>
      <c r="U168" s="684" t="s">
        <v>99</v>
      </c>
      <c r="V168" s="688">
        <v>3422121</v>
      </c>
      <c r="W168" s="689" t="s">
        <v>100</v>
      </c>
    </row>
    <row r="169" spans="1:23" s="613" customFormat="1" ht="24.95" customHeight="1" x14ac:dyDescent="0.25">
      <c r="A169" s="680">
        <v>80111621</v>
      </c>
      <c r="B169" s="681" t="s">
        <v>58</v>
      </c>
      <c r="C169" s="681" t="s">
        <v>94</v>
      </c>
      <c r="D169" s="681" t="s">
        <v>94</v>
      </c>
      <c r="E169" s="682" t="s">
        <v>369</v>
      </c>
      <c r="F169" s="682" t="s">
        <v>370</v>
      </c>
      <c r="G169" s="683">
        <v>1</v>
      </c>
      <c r="H169" s="683"/>
      <c r="I169" s="683">
        <v>9</v>
      </c>
      <c r="J169" s="683">
        <v>0</v>
      </c>
      <c r="K169" s="684" t="s">
        <v>83</v>
      </c>
      <c r="L169" s="682" t="s">
        <v>3</v>
      </c>
      <c r="M169" s="727">
        <v>18813600</v>
      </c>
      <c r="N169" s="722">
        <v>2018011000290</v>
      </c>
      <c r="O169" s="686" t="s">
        <v>2</v>
      </c>
      <c r="P169" s="686" t="s">
        <v>97</v>
      </c>
      <c r="Q169" s="683" t="s">
        <v>66</v>
      </c>
      <c r="R169" s="687">
        <v>0</v>
      </c>
      <c r="S169" s="684" t="s">
        <v>67</v>
      </c>
      <c r="T169" s="684" t="s">
        <v>68</v>
      </c>
      <c r="U169" s="684" t="s">
        <v>99</v>
      </c>
      <c r="V169" s="688">
        <v>3422121</v>
      </c>
      <c r="W169" s="689" t="s">
        <v>100</v>
      </c>
    </row>
    <row r="170" spans="1:23" s="613" customFormat="1" ht="24.95" customHeight="1" x14ac:dyDescent="0.25">
      <c r="A170" s="680" t="s">
        <v>372</v>
      </c>
      <c r="B170" s="681" t="s">
        <v>58</v>
      </c>
      <c r="C170" s="681" t="s">
        <v>94</v>
      </c>
      <c r="D170" s="681" t="s">
        <v>94</v>
      </c>
      <c r="E170" s="682" t="s">
        <v>369</v>
      </c>
      <c r="F170" s="682" t="s">
        <v>373</v>
      </c>
      <c r="G170" s="683">
        <v>1</v>
      </c>
      <c r="H170" s="683"/>
      <c r="I170" s="683">
        <v>10</v>
      </c>
      <c r="J170" s="683">
        <v>0</v>
      </c>
      <c r="K170" s="684" t="s">
        <v>83</v>
      </c>
      <c r="L170" s="682" t="s">
        <v>3</v>
      </c>
      <c r="M170" s="727">
        <v>30500000</v>
      </c>
      <c r="N170" s="722">
        <v>2018011000290</v>
      </c>
      <c r="O170" s="686" t="s">
        <v>2</v>
      </c>
      <c r="P170" s="686" t="s">
        <v>97</v>
      </c>
      <c r="Q170" s="683" t="s">
        <v>66</v>
      </c>
      <c r="R170" s="687">
        <v>0</v>
      </c>
      <c r="S170" s="684" t="s">
        <v>67</v>
      </c>
      <c r="T170" s="684" t="s">
        <v>68</v>
      </c>
      <c r="U170" s="684" t="s">
        <v>99</v>
      </c>
      <c r="V170" s="688">
        <v>3422121</v>
      </c>
      <c r="W170" s="689" t="s">
        <v>100</v>
      </c>
    </row>
    <row r="171" spans="1:23" s="613" customFormat="1" ht="24.95" customHeight="1" x14ac:dyDescent="0.25">
      <c r="A171" s="680" t="s">
        <v>375</v>
      </c>
      <c r="B171" s="681" t="s">
        <v>58</v>
      </c>
      <c r="C171" s="681" t="s">
        <v>94</v>
      </c>
      <c r="D171" s="681" t="s">
        <v>94</v>
      </c>
      <c r="E171" s="682" t="s">
        <v>376</v>
      </c>
      <c r="F171" s="682" t="s">
        <v>377</v>
      </c>
      <c r="G171" s="683">
        <v>1</v>
      </c>
      <c r="H171" s="683"/>
      <c r="I171" s="683">
        <v>10</v>
      </c>
      <c r="J171" s="683">
        <v>0</v>
      </c>
      <c r="K171" s="684" t="s">
        <v>83</v>
      </c>
      <c r="L171" s="682" t="s">
        <v>3</v>
      </c>
      <c r="M171" s="727">
        <v>28163302</v>
      </c>
      <c r="N171" s="722">
        <v>2018011000290</v>
      </c>
      <c r="O171" s="686" t="s">
        <v>2</v>
      </c>
      <c r="P171" s="686" t="s">
        <v>97</v>
      </c>
      <c r="Q171" s="683" t="s">
        <v>66</v>
      </c>
      <c r="R171" s="687">
        <v>0</v>
      </c>
      <c r="S171" s="684" t="s">
        <v>67</v>
      </c>
      <c r="T171" s="684" t="s">
        <v>68</v>
      </c>
      <c r="U171" s="684" t="s">
        <v>99</v>
      </c>
      <c r="V171" s="688">
        <v>3422121</v>
      </c>
      <c r="W171" s="689" t="s">
        <v>100</v>
      </c>
    </row>
    <row r="172" spans="1:23" s="613" customFormat="1" ht="24.95" customHeight="1" x14ac:dyDescent="0.25">
      <c r="A172" s="680">
        <v>80111621</v>
      </c>
      <c r="B172" s="681" t="s">
        <v>58</v>
      </c>
      <c r="C172" s="681" t="s">
        <v>94</v>
      </c>
      <c r="D172" s="681" t="s">
        <v>94</v>
      </c>
      <c r="E172" s="682" t="s">
        <v>378</v>
      </c>
      <c r="F172" s="682" t="s">
        <v>379</v>
      </c>
      <c r="G172" s="683">
        <v>1</v>
      </c>
      <c r="H172" s="683"/>
      <c r="I172" s="683">
        <v>10</v>
      </c>
      <c r="J172" s="683">
        <v>0</v>
      </c>
      <c r="K172" s="684" t="s">
        <v>83</v>
      </c>
      <c r="L172" s="682" t="s">
        <v>3</v>
      </c>
      <c r="M172" s="727">
        <v>18813600</v>
      </c>
      <c r="N172" s="722">
        <v>2018011000290</v>
      </c>
      <c r="O172" s="686" t="s">
        <v>2</v>
      </c>
      <c r="P172" s="686" t="s">
        <v>97</v>
      </c>
      <c r="Q172" s="683" t="s">
        <v>66</v>
      </c>
      <c r="R172" s="687">
        <v>0</v>
      </c>
      <c r="S172" s="684" t="s">
        <v>67</v>
      </c>
      <c r="T172" s="684" t="s">
        <v>68</v>
      </c>
      <c r="U172" s="684" t="s">
        <v>99</v>
      </c>
      <c r="V172" s="688">
        <v>3422121</v>
      </c>
      <c r="W172" s="689" t="s">
        <v>100</v>
      </c>
    </row>
    <row r="173" spans="1:23" s="613" customFormat="1" ht="24.95" customHeight="1" x14ac:dyDescent="0.25">
      <c r="A173" s="680">
        <v>80111621</v>
      </c>
      <c r="B173" s="681" t="s">
        <v>58</v>
      </c>
      <c r="C173" s="681" t="s">
        <v>94</v>
      </c>
      <c r="D173" s="681" t="s">
        <v>94</v>
      </c>
      <c r="E173" s="682" t="s">
        <v>376</v>
      </c>
      <c r="F173" s="682" t="s">
        <v>381</v>
      </c>
      <c r="G173" s="683">
        <v>1</v>
      </c>
      <c r="H173" s="683"/>
      <c r="I173" s="683">
        <v>10</v>
      </c>
      <c r="J173" s="683">
        <v>0</v>
      </c>
      <c r="K173" s="684" t="s">
        <v>83</v>
      </c>
      <c r="L173" s="682" t="s">
        <v>3</v>
      </c>
      <c r="M173" s="727">
        <v>32923800</v>
      </c>
      <c r="N173" s="722">
        <v>2018011000290</v>
      </c>
      <c r="O173" s="686" t="s">
        <v>2</v>
      </c>
      <c r="P173" s="686" t="s">
        <v>97</v>
      </c>
      <c r="Q173" s="683" t="s">
        <v>66</v>
      </c>
      <c r="R173" s="687">
        <v>0</v>
      </c>
      <c r="S173" s="684" t="s">
        <v>67</v>
      </c>
      <c r="T173" s="684" t="s">
        <v>68</v>
      </c>
      <c r="U173" s="684" t="s">
        <v>99</v>
      </c>
      <c r="V173" s="688">
        <v>3422121</v>
      </c>
      <c r="W173" s="689" t="s">
        <v>100</v>
      </c>
    </row>
    <row r="174" spans="1:23" s="613" customFormat="1" ht="24.95" customHeight="1" x14ac:dyDescent="0.25">
      <c r="A174" s="680">
        <v>80111621</v>
      </c>
      <c r="B174" s="681" t="s">
        <v>58</v>
      </c>
      <c r="C174" s="681" t="s">
        <v>94</v>
      </c>
      <c r="D174" s="681" t="s">
        <v>94</v>
      </c>
      <c r="E174" s="682" t="s">
        <v>366</v>
      </c>
      <c r="F174" s="682" t="s">
        <v>383</v>
      </c>
      <c r="G174" s="683">
        <v>1</v>
      </c>
      <c r="H174" s="683"/>
      <c r="I174" s="683">
        <v>10</v>
      </c>
      <c r="J174" s="683">
        <v>0</v>
      </c>
      <c r="K174" s="684" t="s">
        <v>83</v>
      </c>
      <c r="L174" s="682" t="s">
        <v>3</v>
      </c>
      <c r="M174" s="727">
        <v>19254649</v>
      </c>
      <c r="N174" s="722">
        <v>2018011000290</v>
      </c>
      <c r="O174" s="686" t="s">
        <v>2</v>
      </c>
      <c r="P174" s="686" t="s">
        <v>97</v>
      </c>
      <c r="Q174" s="683" t="s">
        <v>66</v>
      </c>
      <c r="R174" s="687">
        <v>0</v>
      </c>
      <c r="S174" s="684" t="s">
        <v>67</v>
      </c>
      <c r="T174" s="684" t="s">
        <v>68</v>
      </c>
      <c r="U174" s="684" t="s">
        <v>99</v>
      </c>
      <c r="V174" s="688">
        <v>3422121</v>
      </c>
      <c r="W174" s="689" t="s">
        <v>100</v>
      </c>
    </row>
    <row r="175" spans="1:23" s="613" customFormat="1" ht="24.95" customHeight="1" x14ac:dyDescent="0.25">
      <c r="A175" s="680">
        <v>81111603</v>
      </c>
      <c r="B175" s="681" t="s">
        <v>58</v>
      </c>
      <c r="C175" s="681" t="s">
        <v>94</v>
      </c>
      <c r="D175" s="681" t="s">
        <v>94</v>
      </c>
      <c r="E175" s="682" t="s">
        <v>376</v>
      </c>
      <c r="F175" s="682" t="s">
        <v>384</v>
      </c>
      <c r="G175" s="683">
        <v>1</v>
      </c>
      <c r="H175" s="683"/>
      <c r="I175" s="683">
        <v>10</v>
      </c>
      <c r="J175" s="683">
        <v>0</v>
      </c>
      <c r="K175" s="684" t="s">
        <v>83</v>
      </c>
      <c r="L175" s="682" t="s">
        <v>3</v>
      </c>
      <c r="M175" s="727">
        <v>19254649</v>
      </c>
      <c r="N175" s="722">
        <v>2018011000290</v>
      </c>
      <c r="O175" s="686" t="s">
        <v>2</v>
      </c>
      <c r="P175" s="686" t="s">
        <v>97</v>
      </c>
      <c r="Q175" s="683" t="s">
        <v>66</v>
      </c>
      <c r="R175" s="687">
        <v>0</v>
      </c>
      <c r="S175" s="684" t="s">
        <v>67</v>
      </c>
      <c r="T175" s="684" t="s">
        <v>68</v>
      </c>
      <c r="U175" s="684" t="s">
        <v>99</v>
      </c>
      <c r="V175" s="688">
        <v>3422121</v>
      </c>
      <c r="W175" s="689" t="s">
        <v>100</v>
      </c>
    </row>
    <row r="176" spans="1:23" s="613" customFormat="1" ht="24.95" customHeight="1" x14ac:dyDescent="0.25">
      <c r="A176" s="680">
        <v>80111621</v>
      </c>
      <c r="B176" s="681" t="s">
        <v>58</v>
      </c>
      <c r="C176" s="681" t="s">
        <v>94</v>
      </c>
      <c r="D176" s="681" t="s">
        <v>94</v>
      </c>
      <c r="E176" s="682" t="s">
        <v>376</v>
      </c>
      <c r="F176" s="682" t="s">
        <v>385</v>
      </c>
      <c r="G176" s="683">
        <v>1</v>
      </c>
      <c r="H176" s="683"/>
      <c r="I176" s="683">
        <v>10</v>
      </c>
      <c r="J176" s="683">
        <v>0</v>
      </c>
      <c r="K176" s="684" t="s">
        <v>83</v>
      </c>
      <c r="L176" s="682" t="s">
        <v>3</v>
      </c>
      <c r="M176" s="727">
        <v>15756390</v>
      </c>
      <c r="N176" s="722">
        <v>2018011000290</v>
      </c>
      <c r="O176" s="686" t="s">
        <v>2</v>
      </c>
      <c r="P176" s="686" t="s">
        <v>97</v>
      </c>
      <c r="Q176" s="683" t="s">
        <v>66</v>
      </c>
      <c r="R176" s="687">
        <v>0</v>
      </c>
      <c r="S176" s="684" t="s">
        <v>67</v>
      </c>
      <c r="T176" s="684" t="s">
        <v>68</v>
      </c>
      <c r="U176" s="684" t="s">
        <v>99</v>
      </c>
      <c r="V176" s="688">
        <v>3422121</v>
      </c>
      <c r="W176" s="689" t="s">
        <v>100</v>
      </c>
    </row>
    <row r="177" spans="1:23" s="613" customFormat="1" ht="24.95" customHeight="1" x14ac:dyDescent="0.25">
      <c r="A177" s="680">
        <v>80111621</v>
      </c>
      <c r="B177" s="681" t="s">
        <v>58</v>
      </c>
      <c r="C177" s="681" t="s">
        <v>94</v>
      </c>
      <c r="D177" s="681" t="s">
        <v>94</v>
      </c>
      <c r="E177" s="682" t="s">
        <v>386</v>
      </c>
      <c r="F177" s="682" t="s">
        <v>331</v>
      </c>
      <c r="G177" s="683">
        <v>1</v>
      </c>
      <c r="H177" s="683"/>
      <c r="I177" s="683">
        <v>10</v>
      </c>
      <c r="J177" s="683">
        <v>0</v>
      </c>
      <c r="K177" s="684" t="s">
        <v>83</v>
      </c>
      <c r="L177" s="682" t="s">
        <v>3</v>
      </c>
      <c r="M177" s="727">
        <v>28922400</v>
      </c>
      <c r="N177" s="722">
        <v>2018011000290</v>
      </c>
      <c r="O177" s="686" t="s">
        <v>2</v>
      </c>
      <c r="P177" s="686" t="s">
        <v>97</v>
      </c>
      <c r="Q177" s="683" t="s">
        <v>66</v>
      </c>
      <c r="R177" s="687">
        <v>0</v>
      </c>
      <c r="S177" s="684" t="s">
        <v>67</v>
      </c>
      <c r="T177" s="684" t="s">
        <v>68</v>
      </c>
      <c r="U177" s="684" t="s">
        <v>99</v>
      </c>
      <c r="V177" s="688">
        <v>3422121</v>
      </c>
      <c r="W177" s="689" t="s">
        <v>100</v>
      </c>
    </row>
    <row r="178" spans="1:23" s="613" customFormat="1" ht="24.95" customHeight="1" x14ac:dyDescent="0.25">
      <c r="A178" s="680">
        <v>60103600</v>
      </c>
      <c r="B178" s="681" t="s">
        <v>58</v>
      </c>
      <c r="C178" s="681" t="s">
        <v>94</v>
      </c>
      <c r="D178" s="681" t="s">
        <v>94</v>
      </c>
      <c r="E178" s="682" t="s">
        <v>388</v>
      </c>
      <c r="F178" s="682" t="s">
        <v>389</v>
      </c>
      <c r="G178" s="683">
        <v>1</v>
      </c>
      <c r="H178" s="683"/>
      <c r="I178" s="683">
        <v>0</v>
      </c>
      <c r="J178" s="683">
        <v>0</v>
      </c>
      <c r="K178" s="684" t="s">
        <v>83</v>
      </c>
      <c r="L178" s="682" t="s">
        <v>10</v>
      </c>
      <c r="M178" s="727">
        <v>3816000</v>
      </c>
      <c r="N178" s="722">
        <v>2018011000290</v>
      </c>
      <c r="O178" s="686" t="s">
        <v>2</v>
      </c>
      <c r="P178" s="686" t="s">
        <v>78</v>
      </c>
      <c r="Q178" s="683" t="s">
        <v>66</v>
      </c>
      <c r="R178" s="687">
        <v>0</v>
      </c>
      <c r="S178" s="684" t="s">
        <v>67</v>
      </c>
      <c r="T178" s="684" t="s">
        <v>68</v>
      </c>
      <c r="U178" s="684" t="s">
        <v>99</v>
      </c>
      <c r="V178" s="688">
        <v>3422121</v>
      </c>
      <c r="W178" s="689" t="s">
        <v>100</v>
      </c>
    </row>
    <row r="179" spans="1:23" s="613" customFormat="1" ht="24.95" customHeight="1" x14ac:dyDescent="0.25">
      <c r="A179" s="680">
        <v>80111621</v>
      </c>
      <c r="B179" s="681" t="s">
        <v>58</v>
      </c>
      <c r="C179" s="681" t="s">
        <v>94</v>
      </c>
      <c r="D179" s="681" t="s">
        <v>94</v>
      </c>
      <c r="E179" s="682" t="s">
        <v>390</v>
      </c>
      <c r="F179" s="682" t="s">
        <v>391</v>
      </c>
      <c r="G179" s="683">
        <v>6</v>
      </c>
      <c r="H179" s="683"/>
      <c r="I179" s="683">
        <v>0</v>
      </c>
      <c r="J179" s="683">
        <v>0</v>
      </c>
      <c r="K179" s="684" t="s">
        <v>83</v>
      </c>
      <c r="L179" s="682" t="s">
        <v>3</v>
      </c>
      <c r="M179" s="727">
        <v>1800000</v>
      </c>
      <c r="N179" s="722">
        <v>2018011000290</v>
      </c>
      <c r="O179" s="686" t="s">
        <v>2</v>
      </c>
      <c r="P179" s="686" t="s">
        <v>97</v>
      </c>
      <c r="Q179" s="683" t="s">
        <v>66</v>
      </c>
      <c r="R179" s="687">
        <v>0</v>
      </c>
      <c r="S179" s="684" t="s">
        <v>67</v>
      </c>
      <c r="T179" s="684" t="s">
        <v>68</v>
      </c>
      <c r="U179" s="684" t="s">
        <v>99</v>
      </c>
      <c r="V179" s="688">
        <v>3422121</v>
      </c>
      <c r="W179" s="689" t="s">
        <v>100</v>
      </c>
    </row>
    <row r="180" spans="1:23" s="613" customFormat="1" ht="24.95" customHeight="1" x14ac:dyDescent="0.25">
      <c r="A180" s="680">
        <v>60103600</v>
      </c>
      <c r="B180" s="681" t="s">
        <v>58</v>
      </c>
      <c r="C180" s="681" t="s">
        <v>94</v>
      </c>
      <c r="D180" s="681" t="s">
        <v>94</v>
      </c>
      <c r="E180" s="682" t="s">
        <v>390</v>
      </c>
      <c r="F180" s="682" t="s">
        <v>392</v>
      </c>
      <c r="G180" s="683">
        <v>3</v>
      </c>
      <c r="H180" s="683"/>
      <c r="I180" s="683">
        <v>0</v>
      </c>
      <c r="J180" s="683">
        <v>0</v>
      </c>
      <c r="K180" s="684" t="s">
        <v>83</v>
      </c>
      <c r="L180" s="682" t="s">
        <v>10</v>
      </c>
      <c r="M180" s="727">
        <v>960000</v>
      </c>
      <c r="N180" s="722">
        <v>2018011000290</v>
      </c>
      <c r="O180" s="686" t="s">
        <v>2</v>
      </c>
      <c r="P180" s="686" t="s">
        <v>78</v>
      </c>
      <c r="Q180" s="683" t="s">
        <v>66</v>
      </c>
      <c r="R180" s="687">
        <v>0</v>
      </c>
      <c r="S180" s="684" t="s">
        <v>67</v>
      </c>
      <c r="T180" s="684" t="s">
        <v>68</v>
      </c>
      <c r="U180" s="684" t="s">
        <v>99</v>
      </c>
      <c r="V180" s="688">
        <v>3422121</v>
      </c>
      <c r="W180" s="689" t="s">
        <v>100</v>
      </c>
    </row>
    <row r="181" spans="1:23" s="613" customFormat="1" ht="24.95" customHeight="1" x14ac:dyDescent="0.25">
      <c r="A181" s="680">
        <v>80111621</v>
      </c>
      <c r="B181" s="681" t="s">
        <v>58</v>
      </c>
      <c r="C181" s="681" t="s">
        <v>94</v>
      </c>
      <c r="D181" s="681" t="s">
        <v>94</v>
      </c>
      <c r="E181" s="682" t="s">
        <v>393</v>
      </c>
      <c r="F181" s="682" t="s">
        <v>331</v>
      </c>
      <c r="G181" s="683">
        <v>1</v>
      </c>
      <c r="H181" s="683"/>
      <c r="I181" s="683">
        <v>10</v>
      </c>
      <c r="J181" s="683">
        <v>0</v>
      </c>
      <c r="K181" s="684" t="s">
        <v>83</v>
      </c>
      <c r="L181" s="682" t="s">
        <v>3</v>
      </c>
      <c r="M181" s="727">
        <v>12000000</v>
      </c>
      <c r="N181" s="722">
        <v>2018011000290</v>
      </c>
      <c r="O181" s="686" t="s">
        <v>2</v>
      </c>
      <c r="P181" s="686" t="s">
        <v>97</v>
      </c>
      <c r="Q181" s="683" t="s">
        <v>66</v>
      </c>
      <c r="R181" s="687">
        <v>0</v>
      </c>
      <c r="S181" s="684" t="s">
        <v>67</v>
      </c>
      <c r="T181" s="684" t="s">
        <v>68</v>
      </c>
      <c r="U181" s="684" t="s">
        <v>99</v>
      </c>
      <c r="V181" s="688">
        <v>3422121</v>
      </c>
      <c r="W181" s="689" t="s">
        <v>100</v>
      </c>
    </row>
    <row r="182" spans="1:23" s="613" customFormat="1" ht="24.95" customHeight="1" x14ac:dyDescent="0.25">
      <c r="A182" s="680">
        <v>80111621</v>
      </c>
      <c r="B182" s="681" t="s">
        <v>58</v>
      </c>
      <c r="C182" s="681" t="s">
        <v>94</v>
      </c>
      <c r="D182" s="681" t="s">
        <v>94</v>
      </c>
      <c r="E182" s="682" t="s">
        <v>393</v>
      </c>
      <c r="F182" s="682" t="s">
        <v>331</v>
      </c>
      <c r="G182" s="683">
        <v>1</v>
      </c>
      <c r="H182" s="683"/>
      <c r="I182" s="683">
        <v>10</v>
      </c>
      <c r="J182" s="683">
        <v>0</v>
      </c>
      <c r="K182" s="684" t="s">
        <v>83</v>
      </c>
      <c r="L182" s="682" t="s">
        <v>3</v>
      </c>
      <c r="M182" s="727">
        <v>12000000</v>
      </c>
      <c r="N182" s="722">
        <v>2018011000290</v>
      </c>
      <c r="O182" s="686" t="s">
        <v>2</v>
      </c>
      <c r="P182" s="686" t="s">
        <v>97</v>
      </c>
      <c r="Q182" s="683" t="s">
        <v>66</v>
      </c>
      <c r="R182" s="687">
        <v>0</v>
      </c>
      <c r="S182" s="684" t="s">
        <v>67</v>
      </c>
      <c r="T182" s="684" t="s">
        <v>68</v>
      </c>
      <c r="U182" s="684" t="s">
        <v>99</v>
      </c>
      <c r="V182" s="688">
        <v>3422121</v>
      </c>
      <c r="W182" s="689" t="s">
        <v>100</v>
      </c>
    </row>
    <row r="183" spans="1:23" s="613" customFormat="1" ht="24.95" customHeight="1" x14ac:dyDescent="0.25">
      <c r="A183" s="680">
        <v>80111621</v>
      </c>
      <c r="B183" s="681" t="s">
        <v>58</v>
      </c>
      <c r="C183" s="681" t="s">
        <v>94</v>
      </c>
      <c r="D183" s="681" t="s">
        <v>94</v>
      </c>
      <c r="E183" s="682" t="s">
        <v>95</v>
      </c>
      <c r="F183" s="682" t="s">
        <v>396</v>
      </c>
      <c r="G183" s="683">
        <v>1</v>
      </c>
      <c r="H183" s="683"/>
      <c r="I183" s="683">
        <v>10</v>
      </c>
      <c r="J183" s="683">
        <v>0</v>
      </c>
      <c r="K183" s="684" t="s">
        <v>83</v>
      </c>
      <c r="L183" s="682" t="s">
        <v>3</v>
      </c>
      <c r="M183" s="727">
        <v>32923800</v>
      </c>
      <c r="N183" s="722">
        <v>2018011000290</v>
      </c>
      <c r="O183" s="686" t="s">
        <v>2</v>
      </c>
      <c r="P183" s="686" t="s">
        <v>97</v>
      </c>
      <c r="Q183" s="683" t="s">
        <v>66</v>
      </c>
      <c r="R183" s="687">
        <v>0</v>
      </c>
      <c r="S183" s="684" t="s">
        <v>67</v>
      </c>
      <c r="T183" s="684" t="s">
        <v>68</v>
      </c>
      <c r="U183" s="684" t="s">
        <v>99</v>
      </c>
      <c r="V183" s="688">
        <v>3422121</v>
      </c>
      <c r="W183" s="689" t="s">
        <v>100</v>
      </c>
    </row>
    <row r="184" spans="1:23" s="613" customFormat="1" ht="24.95" customHeight="1" x14ac:dyDescent="0.25">
      <c r="A184" s="680">
        <v>80111621</v>
      </c>
      <c r="B184" s="681" t="s">
        <v>58</v>
      </c>
      <c r="C184" s="681" t="s">
        <v>94</v>
      </c>
      <c r="D184" s="681" t="s">
        <v>94</v>
      </c>
      <c r="E184" s="682" t="s">
        <v>95</v>
      </c>
      <c r="F184" s="682" t="s">
        <v>398</v>
      </c>
      <c r="G184" s="683">
        <v>1</v>
      </c>
      <c r="H184" s="683">
        <v>1</v>
      </c>
      <c r="I184" s="683">
        <v>10</v>
      </c>
      <c r="J184" s="683">
        <v>0</v>
      </c>
      <c r="K184" s="684" t="s">
        <v>83</v>
      </c>
      <c r="L184" s="682" t="s">
        <v>3</v>
      </c>
      <c r="M184" s="727">
        <v>23400000</v>
      </c>
      <c r="N184" s="722">
        <v>2018011000290</v>
      </c>
      <c r="O184" s="686" t="s">
        <v>2</v>
      </c>
      <c r="P184" s="686" t="s">
        <v>97</v>
      </c>
      <c r="Q184" s="683" t="s">
        <v>66</v>
      </c>
      <c r="R184" s="687">
        <v>0</v>
      </c>
      <c r="S184" s="684" t="s">
        <v>67</v>
      </c>
      <c r="T184" s="684" t="s">
        <v>68</v>
      </c>
      <c r="U184" s="684" t="s">
        <v>99</v>
      </c>
      <c r="V184" s="688">
        <v>3422121</v>
      </c>
      <c r="W184" s="689" t="s">
        <v>100</v>
      </c>
    </row>
    <row r="185" spans="1:23" s="613" customFormat="1" ht="24.95" customHeight="1" x14ac:dyDescent="0.25">
      <c r="A185" s="680">
        <v>82111801</v>
      </c>
      <c r="B185" s="681" t="s">
        <v>58</v>
      </c>
      <c r="C185" s="681" t="s">
        <v>170</v>
      </c>
      <c r="D185" s="681" t="s">
        <v>171</v>
      </c>
      <c r="E185" s="682" t="s">
        <v>399</v>
      </c>
      <c r="F185" s="682" t="s">
        <v>400</v>
      </c>
      <c r="G185" s="683">
        <v>1</v>
      </c>
      <c r="H185" s="683">
        <v>1</v>
      </c>
      <c r="I185" s="683">
        <v>9</v>
      </c>
      <c r="J185" s="683">
        <v>0</v>
      </c>
      <c r="K185" s="684" t="s">
        <v>83</v>
      </c>
      <c r="L185" s="682" t="s">
        <v>3</v>
      </c>
      <c r="M185" s="727">
        <v>16200000</v>
      </c>
      <c r="N185" s="722">
        <v>2018011000290</v>
      </c>
      <c r="O185" s="686" t="s">
        <v>2</v>
      </c>
      <c r="P185" s="686" t="s">
        <v>78</v>
      </c>
      <c r="Q185" s="683" t="s">
        <v>66</v>
      </c>
      <c r="R185" s="687">
        <v>0</v>
      </c>
      <c r="S185" s="684" t="s">
        <v>67</v>
      </c>
      <c r="T185" s="684" t="s">
        <v>68</v>
      </c>
      <c r="U185" s="684" t="s">
        <v>174</v>
      </c>
      <c r="V185" s="688">
        <v>3422121</v>
      </c>
      <c r="W185" s="689" t="s">
        <v>175</v>
      </c>
    </row>
    <row r="186" spans="1:23" s="613" customFormat="1" ht="24.95" customHeight="1" x14ac:dyDescent="0.25">
      <c r="A186" s="680">
        <v>86101700</v>
      </c>
      <c r="B186" s="681" t="s">
        <v>58</v>
      </c>
      <c r="C186" s="681" t="s">
        <v>198</v>
      </c>
      <c r="D186" s="681" t="s">
        <v>60</v>
      </c>
      <c r="E186" s="682" t="s">
        <v>198</v>
      </c>
      <c r="F186" s="682" t="s">
        <v>402</v>
      </c>
      <c r="G186" s="683">
        <v>7</v>
      </c>
      <c r="H186" s="683">
        <v>7</v>
      </c>
      <c r="I186" s="683">
        <v>1</v>
      </c>
      <c r="J186" s="683">
        <v>0</v>
      </c>
      <c r="K186" s="684" t="s">
        <v>83</v>
      </c>
      <c r="L186" s="682" t="s">
        <v>3</v>
      </c>
      <c r="M186" s="727">
        <v>25000000</v>
      </c>
      <c r="N186" s="722">
        <v>2018011000284</v>
      </c>
      <c r="O186" s="686" t="s">
        <v>11</v>
      </c>
      <c r="P186" s="686" t="s">
        <v>185</v>
      </c>
      <c r="Q186" s="683" t="s">
        <v>66</v>
      </c>
      <c r="R186" s="687">
        <v>0</v>
      </c>
      <c r="S186" s="684" t="s">
        <v>67</v>
      </c>
      <c r="T186" s="684" t="s">
        <v>68</v>
      </c>
      <c r="U186" s="684" t="s">
        <v>121</v>
      </c>
      <c r="V186" s="688">
        <v>3422121</v>
      </c>
      <c r="W186" s="689" t="s">
        <v>122</v>
      </c>
    </row>
    <row r="187" spans="1:23" s="613" customFormat="1" ht="24.95" customHeight="1" x14ac:dyDescent="0.25">
      <c r="A187" s="680">
        <v>5600000</v>
      </c>
      <c r="B187" s="681" t="s">
        <v>58</v>
      </c>
      <c r="C187" s="681" t="s">
        <v>170</v>
      </c>
      <c r="D187" s="681" t="s">
        <v>171</v>
      </c>
      <c r="E187" s="682" t="s">
        <v>176</v>
      </c>
      <c r="F187" s="682" t="s">
        <v>404</v>
      </c>
      <c r="G187" s="683">
        <v>3</v>
      </c>
      <c r="H187" s="683">
        <v>3</v>
      </c>
      <c r="I187" s="683">
        <v>2</v>
      </c>
      <c r="J187" s="683">
        <v>0</v>
      </c>
      <c r="K187" s="684" t="s">
        <v>154</v>
      </c>
      <c r="L187" s="682" t="s">
        <v>10</v>
      </c>
      <c r="M187" s="727">
        <v>20000000</v>
      </c>
      <c r="N187" s="722">
        <v>2018011000290</v>
      </c>
      <c r="O187" s="686" t="s">
        <v>2</v>
      </c>
      <c r="P187" s="686" t="s">
        <v>78</v>
      </c>
      <c r="Q187" s="683" t="s">
        <v>66</v>
      </c>
      <c r="R187" s="687">
        <v>0</v>
      </c>
      <c r="S187" s="684" t="s">
        <v>67</v>
      </c>
      <c r="T187" s="684" t="s">
        <v>68</v>
      </c>
      <c r="U187" s="684" t="s">
        <v>121</v>
      </c>
      <c r="V187" s="688">
        <v>3422121</v>
      </c>
      <c r="W187" s="689" t="s">
        <v>175</v>
      </c>
    </row>
    <row r="188" spans="1:23" s="613" customFormat="1" ht="24.95" customHeight="1" x14ac:dyDescent="0.25">
      <c r="A188" s="680">
        <v>82141505</v>
      </c>
      <c r="B188" s="681" t="s">
        <v>58</v>
      </c>
      <c r="C188" s="681" t="s">
        <v>170</v>
      </c>
      <c r="D188" s="681" t="s">
        <v>171</v>
      </c>
      <c r="E188" s="682" t="s">
        <v>172</v>
      </c>
      <c r="F188" s="682" t="s">
        <v>406</v>
      </c>
      <c r="G188" s="683">
        <v>2</v>
      </c>
      <c r="H188" s="683">
        <v>2</v>
      </c>
      <c r="I188" s="683">
        <v>10</v>
      </c>
      <c r="J188" s="683">
        <v>15</v>
      </c>
      <c r="K188" s="684" t="s">
        <v>83</v>
      </c>
      <c r="L188" s="682" t="s">
        <v>3</v>
      </c>
      <c r="M188" s="727">
        <v>19194888</v>
      </c>
      <c r="N188" s="722">
        <v>2018011000290</v>
      </c>
      <c r="O188" s="686" t="s">
        <v>2</v>
      </c>
      <c r="P188" s="686" t="s">
        <v>78</v>
      </c>
      <c r="Q188" s="683" t="s">
        <v>66</v>
      </c>
      <c r="R188" s="687">
        <v>0</v>
      </c>
      <c r="S188" s="684" t="s">
        <v>67</v>
      </c>
      <c r="T188" s="684" t="s">
        <v>68</v>
      </c>
      <c r="U188" s="684" t="s">
        <v>174</v>
      </c>
      <c r="V188" s="688">
        <v>3422121</v>
      </c>
      <c r="W188" s="689" t="s">
        <v>175</v>
      </c>
    </row>
    <row r="189" spans="1:23" s="613" customFormat="1" ht="24.95" customHeight="1" x14ac:dyDescent="0.25">
      <c r="A189" s="680">
        <v>82111801</v>
      </c>
      <c r="B189" s="681" t="s">
        <v>58</v>
      </c>
      <c r="C189" s="681" t="s">
        <v>198</v>
      </c>
      <c r="D189" s="681" t="s">
        <v>60</v>
      </c>
      <c r="E189" s="682" t="s">
        <v>198</v>
      </c>
      <c r="F189" s="682" t="s">
        <v>408</v>
      </c>
      <c r="G189" s="683">
        <v>1</v>
      </c>
      <c r="H189" s="683">
        <v>1</v>
      </c>
      <c r="I189" s="683">
        <v>10</v>
      </c>
      <c r="J189" s="683">
        <v>0</v>
      </c>
      <c r="K189" s="684" t="s">
        <v>83</v>
      </c>
      <c r="L189" s="682" t="s">
        <v>3</v>
      </c>
      <c r="M189" s="727">
        <v>23700676</v>
      </c>
      <c r="N189" s="722">
        <v>2018011000290</v>
      </c>
      <c r="O189" s="686" t="s">
        <v>2</v>
      </c>
      <c r="P189" s="686" t="s">
        <v>78</v>
      </c>
      <c r="Q189" s="683" t="s">
        <v>66</v>
      </c>
      <c r="R189" s="687">
        <v>0</v>
      </c>
      <c r="S189" s="684" t="s">
        <v>67</v>
      </c>
      <c r="T189" s="684" t="s">
        <v>68</v>
      </c>
      <c r="U189" s="684" t="s">
        <v>121</v>
      </c>
      <c r="V189" s="688">
        <v>3422121</v>
      </c>
      <c r="W189" s="689" t="s">
        <v>122</v>
      </c>
    </row>
    <row r="190" spans="1:23" s="613" customFormat="1" ht="24.95" customHeight="1" x14ac:dyDescent="0.25">
      <c r="A190" s="680" t="s">
        <v>409</v>
      </c>
      <c r="B190" s="681" t="s">
        <v>58</v>
      </c>
      <c r="C190" s="681" t="s">
        <v>170</v>
      </c>
      <c r="D190" s="681" t="s">
        <v>171</v>
      </c>
      <c r="E190" s="682" t="s">
        <v>172</v>
      </c>
      <c r="F190" s="682" t="s">
        <v>410</v>
      </c>
      <c r="G190" s="683">
        <v>2</v>
      </c>
      <c r="H190" s="683">
        <v>2</v>
      </c>
      <c r="I190" s="683">
        <v>10</v>
      </c>
      <c r="J190" s="683">
        <v>0</v>
      </c>
      <c r="K190" s="684" t="s">
        <v>154</v>
      </c>
      <c r="L190" s="682" t="s">
        <v>3</v>
      </c>
      <c r="M190" s="727">
        <v>30000000</v>
      </c>
      <c r="N190" s="722">
        <v>2018011000290</v>
      </c>
      <c r="O190" s="686" t="s">
        <v>2</v>
      </c>
      <c r="P190" s="686" t="s">
        <v>78</v>
      </c>
      <c r="Q190" s="683" t="s">
        <v>66</v>
      </c>
      <c r="R190" s="687">
        <v>0</v>
      </c>
      <c r="S190" s="684" t="s">
        <v>67</v>
      </c>
      <c r="T190" s="684" t="s">
        <v>68</v>
      </c>
      <c r="U190" s="684" t="s">
        <v>174</v>
      </c>
      <c r="V190" s="688">
        <v>3422121</v>
      </c>
      <c r="W190" s="689" t="s">
        <v>175</v>
      </c>
    </row>
    <row r="191" spans="1:23" s="613" customFormat="1" ht="24.95" customHeight="1" x14ac:dyDescent="0.25">
      <c r="A191" s="680" t="s">
        <v>412</v>
      </c>
      <c r="B191" s="681" t="s">
        <v>58</v>
      </c>
      <c r="C191" s="681" t="s">
        <v>170</v>
      </c>
      <c r="D191" s="681" t="s">
        <v>171</v>
      </c>
      <c r="E191" s="682" t="s">
        <v>172</v>
      </c>
      <c r="F191" s="682" t="s">
        <v>413</v>
      </c>
      <c r="G191" s="683">
        <v>2</v>
      </c>
      <c r="H191" s="683">
        <v>2</v>
      </c>
      <c r="I191" s="683">
        <v>2</v>
      </c>
      <c r="J191" s="683">
        <v>0</v>
      </c>
      <c r="K191" s="684" t="s">
        <v>154</v>
      </c>
      <c r="L191" s="682" t="s">
        <v>3</v>
      </c>
      <c r="M191" s="727">
        <v>18000000</v>
      </c>
      <c r="N191" s="722">
        <v>2018011000290</v>
      </c>
      <c r="O191" s="686" t="s">
        <v>2</v>
      </c>
      <c r="P191" s="686" t="s">
        <v>78</v>
      </c>
      <c r="Q191" s="683" t="s">
        <v>66</v>
      </c>
      <c r="R191" s="687">
        <v>0</v>
      </c>
      <c r="S191" s="684" t="s">
        <v>67</v>
      </c>
      <c r="T191" s="684" t="s">
        <v>68</v>
      </c>
      <c r="U191" s="684" t="s">
        <v>174</v>
      </c>
      <c r="V191" s="688">
        <v>3422121</v>
      </c>
      <c r="W191" s="689" t="s">
        <v>175</v>
      </c>
    </row>
    <row r="192" spans="1:23" s="613" customFormat="1" ht="24.95" customHeight="1" x14ac:dyDescent="0.25">
      <c r="A192" s="680">
        <v>83121700</v>
      </c>
      <c r="B192" s="681" t="s">
        <v>58</v>
      </c>
      <c r="C192" s="681" t="s">
        <v>162</v>
      </c>
      <c r="D192" s="681" t="s">
        <v>163</v>
      </c>
      <c r="E192" s="682" t="s">
        <v>164</v>
      </c>
      <c r="F192" s="682" t="s">
        <v>415</v>
      </c>
      <c r="G192" s="683">
        <v>1</v>
      </c>
      <c r="H192" s="683">
        <v>1</v>
      </c>
      <c r="I192" s="683">
        <v>8</v>
      </c>
      <c r="J192" s="683">
        <v>0</v>
      </c>
      <c r="K192" s="684" t="s">
        <v>83</v>
      </c>
      <c r="L192" s="682" t="s">
        <v>3</v>
      </c>
      <c r="M192" s="727">
        <v>60000000</v>
      </c>
      <c r="N192" s="722">
        <v>2018011000290</v>
      </c>
      <c r="O192" s="686" t="s">
        <v>2</v>
      </c>
      <c r="P192" s="686" t="s">
        <v>78</v>
      </c>
      <c r="Q192" s="683" t="s">
        <v>66</v>
      </c>
      <c r="R192" s="687">
        <v>0</v>
      </c>
      <c r="S192" s="684" t="s">
        <v>67</v>
      </c>
      <c r="T192" s="684" t="s">
        <v>68</v>
      </c>
      <c r="U192" s="684" t="s">
        <v>121</v>
      </c>
      <c r="V192" s="688">
        <v>3422121</v>
      </c>
      <c r="W192" s="689" t="s">
        <v>122</v>
      </c>
    </row>
    <row r="193" spans="1:23" s="613" customFormat="1" ht="24.95" customHeight="1" x14ac:dyDescent="0.25">
      <c r="A193" s="680">
        <v>83121703</v>
      </c>
      <c r="B193" s="681" t="s">
        <v>58</v>
      </c>
      <c r="C193" s="681" t="s">
        <v>162</v>
      </c>
      <c r="D193" s="681" t="s">
        <v>163</v>
      </c>
      <c r="E193" s="682" t="s">
        <v>164</v>
      </c>
      <c r="F193" s="682" t="s">
        <v>417</v>
      </c>
      <c r="G193" s="683">
        <v>1</v>
      </c>
      <c r="H193" s="683">
        <v>1</v>
      </c>
      <c r="I193" s="683">
        <v>11</v>
      </c>
      <c r="J193" s="683">
        <v>0</v>
      </c>
      <c r="K193" s="684" t="s">
        <v>83</v>
      </c>
      <c r="L193" s="682" t="s">
        <v>3</v>
      </c>
      <c r="M193" s="727">
        <v>36740000</v>
      </c>
      <c r="N193" s="722">
        <v>2018011000290</v>
      </c>
      <c r="O193" s="686" t="s">
        <v>2</v>
      </c>
      <c r="P193" s="686" t="s">
        <v>78</v>
      </c>
      <c r="Q193" s="683" t="s">
        <v>66</v>
      </c>
      <c r="R193" s="687">
        <v>0</v>
      </c>
      <c r="S193" s="684" t="s">
        <v>67</v>
      </c>
      <c r="T193" s="684" t="s">
        <v>68</v>
      </c>
      <c r="U193" s="684" t="s">
        <v>121</v>
      </c>
      <c r="V193" s="688">
        <v>3422121</v>
      </c>
      <c r="W193" s="689" t="s">
        <v>122</v>
      </c>
    </row>
    <row r="194" spans="1:23" s="613" customFormat="1" ht="24.95" customHeight="1" x14ac:dyDescent="0.25">
      <c r="A194" s="680">
        <v>86141704</v>
      </c>
      <c r="B194" s="681" t="s">
        <v>58</v>
      </c>
      <c r="C194" s="681" t="s">
        <v>105</v>
      </c>
      <c r="D194" s="681" t="s">
        <v>94</v>
      </c>
      <c r="E194" s="682" t="s">
        <v>158</v>
      </c>
      <c r="F194" s="682" t="s">
        <v>418</v>
      </c>
      <c r="G194" s="683">
        <v>1</v>
      </c>
      <c r="H194" s="683">
        <v>1</v>
      </c>
      <c r="I194" s="683">
        <v>10</v>
      </c>
      <c r="J194" s="683">
        <v>15</v>
      </c>
      <c r="K194" s="684" t="s">
        <v>83</v>
      </c>
      <c r="L194" s="682" t="s">
        <v>3</v>
      </c>
      <c r="M194" s="727">
        <v>44945452</v>
      </c>
      <c r="N194" s="722">
        <v>2018011000290</v>
      </c>
      <c r="O194" s="686" t="s">
        <v>2</v>
      </c>
      <c r="P194" s="686" t="s">
        <v>78</v>
      </c>
      <c r="Q194" s="683" t="s">
        <v>66</v>
      </c>
      <c r="R194" s="687">
        <v>0</v>
      </c>
      <c r="S194" s="684" t="s">
        <v>67</v>
      </c>
      <c r="T194" s="684" t="s">
        <v>68</v>
      </c>
      <c r="U194" s="684" t="s">
        <v>109</v>
      </c>
      <c r="V194" s="688">
        <v>3422121</v>
      </c>
      <c r="W194" s="689" t="s">
        <v>110</v>
      </c>
    </row>
    <row r="195" spans="1:23" s="613" customFormat="1" ht="24.95" customHeight="1" x14ac:dyDescent="0.25">
      <c r="A195" s="680">
        <v>86141704</v>
      </c>
      <c r="B195" s="681" t="s">
        <v>58</v>
      </c>
      <c r="C195" s="681" t="s">
        <v>105</v>
      </c>
      <c r="D195" s="681" t="s">
        <v>94</v>
      </c>
      <c r="E195" s="682" t="s">
        <v>158</v>
      </c>
      <c r="F195" s="682" t="s">
        <v>419</v>
      </c>
      <c r="G195" s="683">
        <v>1</v>
      </c>
      <c r="H195" s="683">
        <v>1</v>
      </c>
      <c r="I195" s="683">
        <v>10</v>
      </c>
      <c r="J195" s="683">
        <v>15</v>
      </c>
      <c r="K195" s="684" t="s">
        <v>83</v>
      </c>
      <c r="L195" s="682" t="s">
        <v>3</v>
      </c>
      <c r="M195" s="727">
        <v>21630000</v>
      </c>
      <c r="N195" s="722">
        <v>2018011000319</v>
      </c>
      <c r="O195" s="686" t="s">
        <v>15</v>
      </c>
      <c r="P195" s="686" t="s">
        <v>108</v>
      </c>
      <c r="Q195" s="683" t="s">
        <v>66</v>
      </c>
      <c r="R195" s="687">
        <v>0</v>
      </c>
      <c r="S195" s="684" t="s">
        <v>67</v>
      </c>
      <c r="T195" s="684" t="s">
        <v>68</v>
      </c>
      <c r="U195" s="684" t="s">
        <v>109</v>
      </c>
      <c r="V195" s="688">
        <v>3422121</v>
      </c>
      <c r="W195" s="689" t="s">
        <v>110</v>
      </c>
    </row>
    <row r="196" spans="1:23" s="613" customFormat="1" ht="24.95" customHeight="1" x14ac:dyDescent="0.25">
      <c r="A196" s="680">
        <v>86141704</v>
      </c>
      <c r="B196" s="681" t="s">
        <v>58</v>
      </c>
      <c r="C196" s="681" t="s">
        <v>105</v>
      </c>
      <c r="D196" s="681" t="s">
        <v>94</v>
      </c>
      <c r="E196" s="682" t="s">
        <v>158</v>
      </c>
      <c r="F196" s="682" t="s">
        <v>420</v>
      </c>
      <c r="G196" s="683">
        <v>1</v>
      </c>
      <c r="H196" s="683">
        <v>1</v>
      </c>
      <c r="I196" s="683">
        <v>10</v>
      </c>
      <c r="J196" s="683">
        <v>15</v>
      </c>
      <c r="K196" s="684" t="s">
        <v>83</v>
      </c>
      <c r="L196" s="682" t="s">
        <v>3</v>
      </c>
      <c r="M196" s="727">
        <v>20974545</v>
      </c>
      <c r="N196" s="722">
        <v>2018011000319</v>
      </c>
      <c r="O196" s="686" t="s">
        <v>15</v>
      </c>
      <c r="P196" s="686" t="s">
        <v>108</v>
      </c>
      <c r="Q196" s="683" t="s">
        <v>66</v>
      </c>
      <c r="R196" s="687">
        <v>0</v>
      </c>
      <c r="S196" s="684" t="s">
        <v>67</v>
      </c>
      <c r="T196" s="684" t="s">
        <v>68</v>
      </c>
      <c r="U196" s="684" t="s">
        <v>109</v>
      </c>
      <c r="V196" s="688">
        <v>3422121</v>
      </c>
      <c r="W196" s="689" t="s">
        <v>110</v>
      </c>
    </row>
    <row r="197" spans="1:23" s="613" customFormat="1" ht="24.95" customHeight="1" x14ac:dyDescent="0.25">
      <c r="A197" s="680">
        <v>83121703</v>
      </c>
      <c r="B197" s="681" t="s">
        <v>58</v>
      </c>
      <c r="C197" s="681" t="s">
        <v>162</v>
      </c>
      <c r="D197" s="681" t="s">
        <v>163</v>
      </c>
      <c r="E197" s="682" t="s">
        <v>164</v>
      </c>
      <c r="F197" s="682" t="s">
        <v>421</v>
      </c>
      <c r="G197" s="683">
        <v>1</v>
      </c>
      <c r="H197" s="683">
        <v>1</v>
      </c>
      <c r="I197" s="683">
        <v>10</v>
      </c>
      <c r="J197" s="683">
        <v>15</v>
      </c>
      <c r="K197" s="684" t="s">
        <v>83</v>
      </c>
      <c r="L197" s="682" t="s">
        <v>3</v>
      </c>
      <c r="M197" s="727">
        <v>50127525</v>
      </c>
      <c r="N197" s="722">
        <v>2018011000290</v>
      </c>
      <c r="O197" s="686" t="s">
        <v>2</v>
      </c>
      <c r="P197" s="686" t="s">
        <v>78</v>
      </c>
      <c r="Q197" s="683" t="s">
        <v>66</v>
      </c>
      <c r="R197" s="687">
        <v>0</v>
      </c>
      <c r="S197" s="684" t="s">
        <v>67</v>
      </c>
      <c r="T197" s="684" t="s">
        <v>68</v>
      </c>
      <c r="U197" s="684" t="s">
        <v>121</v>
      </c>
      <c r="V197" s="688">
        <v>3422121</v>
      </c>
      <c r="W197" s="689" t="s">
        <v>122</v>
      </c>
    </row>
    <row r="198" spans="1:23" s="613" customFormat="1" ht="24.95" customHeight="1" x14ac:dyDescent="0.25">
      <c r="A198" s="680">
        <v>82141505</v>
      </c>
      <c r="B198" s="681" t="s">
        <v>58</v>
      </c>
      <c r="C198" s="681" t="s">
        <v>162</v>
      </c>
      <c r="D198" s="681" t="s">
        <v>163</v>
      </c>
      <c r="E198" s="682" t="s">
        <v>164</v>
      </c>
      <c r="F198" s="682" t="s">
        <v>422</v>
      </c>
      <c r="G198" s="683">
        <v>1</v>
      </c>
      <c r="H198" s="683">
        <v>1</v>
      </c>
      <c r="I198" s="683">
        <v>10</v>
      </c>
      <c r="J198" s="683">
        <v>15</v>
      </c>
      <c r="K198" s="684" t="s">
        <v>83</v>
      </c>
      <c r="L198" s="682" t="s">
        <v>3</v>
      </c>
      <c r="M198" s="727">
        <v>38319708</v>
      </c>
      <c r="N198" s="722">
        <v>2018011000290</v>
      </c>
      <c r="O198" s="686" t="s">
        <v>2</v>
      </c>
      <c r="P198" s="686" t="s">
        <v>78</v>
      </c>
      <c r="Q198" s="683" t="s">
        <v>66</v>
      </c>
      <c r="R198" s="687">
        <v>0</v>
      </c>
      <c r="S198" s="684" t="s">
        <v>67</v>
      </c>
      <c r="T198" s="684" t="s">
        <v>68</v>
      </c>
      <c r="U198" s="684" t="s">
        <v>121</v>
      </c>
      <c r="V198" s="688">
        <v>3422121</v>
      </c>
      <c r="W198" s="689" t="s">
        <v>122</v>
      </c>
    </row>
    <row r="199" spans="1:23" s="613" customFormat="1" ht="24.95" customHeight="1" x14ac:dyDescent="0.25">
      <c r="A199" s="680">
        <v>83121702</v>
      </c>
      <c r="B199" s="681" t="s">
        <v>58</v>
      </c>
      <c r="C199" s="681" t="s">
        <v>162</v>
      </c>
      <c r="D199" s="681" t="s">
        <v>163</v>
      </c>
      <c r="E199" s="682" t="s">
        <v>164</v>
      </c>
      <c r="F199" s="682" t="s">
        <v>423</v>
      </c>
      <c r="G199" s="683">
        <v>1</v>
      </c>
      <c r="H199" s="683">
        <v>1</v>
      </c>
      <c r="I199" s="683">
        <v>10</v>
      </c>
      <c r="J199" s="683">
        <v>15</v>
      </c>
      <c r="K199" s="684" t="s">
        <v>83</v>
      </c>
      <c r="L199" s="682" t="s">
        <v>3</v>
      </c>
      <c r="M199" s="727">
        <v>31515451</v>
      </c>
      <c r="N199" s="722">
        <v>2018011000290</v>
      </c>
      <c r="O199" s="686" t="s">
        <v>2</v>
      </c>
      <c r="P199" s="686" t="s">
        <v>166</v>
      </c>
      <c r="Q199" s="683" t="s">
        <v>66</v>
      </c>
      <c r="R199" s="687">
        <v>0</v>
      </c>
      <c r="S199" s="684" t="s">
        <v>67</v>
      </c>
      <c r="T199" s="684" t="s">
        <v>68</v>
      </c>
      <c r="U199" s="684" t="s">
        <v>121</v>
      </c>
      <c r="V199" s="688">
        <v>3422121</v>
      </c>
      <c r="W199" s="689" t="s">
        <v>122</v>
      </c>
    </row>
    <row r="200" spans="1:23" s="613" customFormat="1" ht="24.95" customHeight="1" x14ac:dyDescent="0.25">
      <c r="A200" s="680">
        <v>83121702</v>
      </c>
      <c r="B200" s="681" t="s">
        <v>58</v>
      </c>
      <c r="C200" s="681" t="s">
        <v>162</v>
      </c>
      <c r="D200" s="681" t="s">
        <v>163</v>
      </c>
      <c r="E200" s="682" t="s">
        <v>164</v>
      </c>
      <c r="F200" s="682" t="s">
        <v>424</v>
      </c>
      <c r="G200" s="683">
        <v>1</v>
      </c>
      <c r="H200" s="683">
        <v>1</v>
      </c>
      <c r="I200" s="683">
        <v>10</v>
      </c>
      <c r="J200" s="683">
        <v>15</v>
      </c>
      <c r="K200" s="684" t="s">
        <v>83</v>
      </c>
      <c r="L200" s="682" t="s">
        <v>3</v>
      </c>
      <c r="M200" s="727">
        <v>65074624</v>
      </c>
      <c r="N200" s="722">
        <v>2018011000290</v>
      </c>
      <c r="O200" s="686" t="s">
        <v>2</v>
      </c>
      <c r="P200" s="686" t="s">
        <v>166</v>
      </c>
      <c r="Q200" s="683" t="s">
        <v>66</v>
      </c>
      <c r="R200" s="687">
        <v>0</v>
      </c>
      <c r="S200" s="684" t="s">
        <v>67</v>
      </c>
      <c r="T200" s="684" t="s">
        <v>68</v>
      </c>
      <c r="U200" s="684" t="s">
        <v>121</v>
      </c>
      <c r="V200" s="688">
        <v>3422121</v>
      </c>
      <c r="W200" s="689" t="s">
        <v>122</v>
      </c>
    </row>
    <row r="201" spans="1:23" s="613" customFormat="1" ht="24.95" customHeight="1" x14ac:dyDescent="0.25">
      <c r="A201" s="680" t="s">
        <v>180</v>
      </c>
      <c r="B201" s="681" t="s">
        <v>58</v>
      </c>
      <c r="C201" s="681" t="s">
        <v>170</v>
      </c>
      <c r="D201" s="681" t="s">
        <v>171</v>
      </c>
      <c r="E201" s="682" t="s">
        <v>399</v>
      </c>
      <c r="F201" s="682" t="s">
        <v>425</v>
      </c>
      <c r="G201" s="683">
        <v>1</v>
      </c>
      <c r="H201" s="683">
        <v>1</v>
      </c>
      <c r="I201" s="683">
        <v>10</v>
      </c>
      <c r="J201" s="683">
        <v>15</v>
      </c>
      <c r="K201" s="684" t="s">
        <v>83</v>
      </c>
      <c r="L201" s="682" t="s">
        <v>3</v>
      </c>
      <c r="M201" s="727">
        <v>31747433</v>
      </c>
      <c r="N201" s="722">
        <v>2018011000290</v>
      </c>
      <c r="O201" s="686" t="s">
        <v>2</v>
      </c>
      <c r="P201" s="686" t="s">
        <v>78</v>
      </c>
      <c r="Q201" s="683" t="s">
        <v>66</v>
      </c>
      <c r="R201" s="687">
        <v>0</v>
      </c>
      <c r="S201" s="684" t="s">
        <v>67</v>
      </c>
      <c r="T201" s="684" t="s">
        <v>68</v>
      </c>
      <c r="U201" s="684" t="s">
        <v>174</v>
      </c>
      <c r="V201" s="688">
        <v>3422121</v>
      </c>
      <c r="W201" s="689" t="s">
        <v>175</v>
      </c>
    </row>
    <row r="202" spans="1:23" s="613" customFormat="1" ht="24.95" customHeight="1" x14ac:dyDescent="0.25">
      <c r="A202" s="680" t="s">
        <v>426</v>
      </c>
      <c r="B202" s="681" t="s">
        <v>58</v>
      </c>
      <c r="C202" s="681" t="s">
        <v>170</v>
      </c>
      <c r="D202" s="681" t="s">
        <v>171</v>
      </c>
      <c r="E202" s="682" t="s">
        <v>172</v>
      </c>
      <c r="F202" s="682" t="s">
        <v>427</v>
      </c>
      <c r="G202" s="683">
        <v>1</v>
      </c>
      <c r="H202" s="683">
        <v>1</v>
      </c>
      <c r="I202" s="683">
        <v>10</v>
      </c>
      <c r="J202" s="683">
        <v>15</v>
      </c>
      <c r="K202" s="684" t="s">
        <v>83</v>
      </c>
      <c r="L202" s="682" t="s">
        <v>3</v>
      </c>
      <c r="M202" s="727">
        <v>22601782</v>
      </c>
      <c r="N202" s="722">
        <v>2018011000290</v>
      </c>
      <c r="O202" s="686" t="s">
        <v>2</v>
      </c>
      <c r="P202" s="686" t="s">
        <v>78</v>
      </c>
      <c r="Q202" s="683" t="s">
        <v>66</v>
      </c>
      <c r="R202" s="687">
        <v>0</v>
      </c>
      <c r="S202" s="684" t="s">
        <v>67</v>
      </c>
      <c r="T202" s="684" t="s">
        <v>68</v>
      </c>
      <c r="U202" s="684" t="s">
        <v>174</v>
      </c>
      <c r="V202" s="688">
        <v>3422121</v>
      </c>
      <c r="W202" s="689" t="s">
        <v>175</v>
      </c>
    </row>
    <row r="203" spans="1:23" s="613" customFormat="1" ht="24.95" customHeight="1" x14ac:dyDescent="0.25">
      <c r="A203" s="680">
        <v>93141708</v>
      </c>
      <c r="B203" s="681" t="s">
        <v>58</v>
      </c>
      <c r="C203" s="681" t="s">
        <v>182</v>
      </c>
      <c r="D203" s="681" t="s">
        <v>171</v>
      </c>
      <c r="E203" s="682" t="s">
        <v>183</v>
      </c>
      <c r="F203" s="682" t="s">
        <v>428</v>
      </c>
      <c r="G203" s="683">
        <v>1</v>
      </c>
      <c r="H203" s="683">
        <v>1</v>
      </c>
      <c r="I203" s="683">
        <v>11</v>
      </c>
      <c r="J203" s="683">
        <v>0</v>
      </c>
      <c r="K203" s="684" t="s">
        <v>83</v>
      </c>
      <c r="L203" s="682" t="s">
        <v>3</v>
      </c>
      <c r="M203" s="727">
        <v>73801739</v>
      </c>
      <c r="N203" s="722">
        <v>2018011000290</v>
      </c>
      <c r="O203" s="686" t="s">
        <v>2</v>
      </c>
      <c r="P203" s="686" t="s">
        <v>188</v>
      </c>
      <c r="Q203" s="683" t="s">
        <v>66</v>
      </c>
      <c r="R203" s="687">
        <v>0</v>
      </c>
      <c r="S203" s="684" t="s">
        <v>67</v>
      </c>
      <c r="T203" s="684" t="s">
        <v>68</v>
      </c>
      <c r="U203" s="684" t="s">
        <v>121</v>
      </c>
      <c r="V203" s="688">
        <v>3422121</v>
      </c>
      <c r="W203" s="689" t="s">
        <v>122</v>
      </c>
    </row>
    <row r="204" spans="1:23" s="613" customFormat="1" ht="24.95" customHeight="1" x14ac:dyDescent="0.25">
      <c r="A204" s="680">
        <v>93141708</v>
      </c>
      <c r="B204" s="681" t="s">
        <v>58</v>
      </c>
      <c r="C204" s="681" t="s">
        <v>182</v>
      </c>
      <c r="D204" s="681" t="s">
        <v>171</v>
      </c>
      <c r="E204" s="682" t="s">
        <v>183</v>
      </c>
      <c r="F204" s="682" t="s">
        <v>429</v>
      </c>
      <c r="G204" s="683">
        <v>1</v>
      </c>
      <c r="H204" s="683">
        <v>1</v>
      </c>
      <c r="I204" s="683">
        <v>10</v>
      </c>
      <c r="J204" s="683">
        <v>15</v>
      </c>
      <c r="K204" s="684" t="s">
        <v>83</v>
      </c>
      <c r="L204" s="682" t="s">
        <v>3</v>
      </c>
      <c r="M204" s="727">
        <v>62381498</v>
      </c>
      <c r="N204" s="722">
        <v>2018011000290</v>
      </c>
      <c r="O204" s="686" t="s">
        <v>2</v>
      </c>
      <c r="P204" s="686" t="s">
        <v>188</v>
      </c>
      <c r="Q204" s="683" t="s">
        <v>66</v>
      </c>
      <c r="R204" s="687">
        <v>0</v>
      </c>
      <c r="S204" s="684" t="s">
        <v>67</v>
      </c>
      <c r="T204" s="684" t="s">
        <v>68</v>
      </c>
      <c r="U204" s="684" t="s">
        <v>191</v>
      </c>
      <c r="V204" s="688">
        <v>3422121</v>
      </c>
      <c r="W204" s="689" t="s">
        <v>122</v>
      </c>
    </row>
    <row r="205" spans="1:23" s="613" customFormat="1" ht="24.95" customHeight="1" x14ac:dyDescent="0.25">
      <c r="A205" s="680">
        <v>93141708</v>
      </c>
      <c r="B205" s="681" t="s">
        <v>58</v>
      </c>
      <c r="C205" s="681" t="s">
        <v>182</v>
      </c>
      <c r="D205" s="681" t="s">
        <v>171</v>
      </c>
      <c r="E205" s="682" t="s">
        <v>183</v>
      </c>
      <c r="F205" s="682" t="s">
        <v>430</v>
      </c>
      <c r="G205" s="683">
        <v>1</v>
      </c>
      <c r="H205" s="683">
        <v>1</v>
      </c>
      <c r="I205" s="683">
        <v>10</v>
      </c>
      <c r="J205" s="683">
        <v>15</v>
      </c>
      <c r="K205" s="684" t="s">
        <v>83</v>
      </c>
      <c r="L205" s="682" t="s">
        <v>3</v>
      </c>
      <c r="M205" s="727">
        <v>62381498</v>
      </c>
      <c r="N205" s="722">
        <v>2018011000290</v>
      </c>
      <c r="O205" s="686" t="s">
        <v>2</v>
      </c>
      <c r="P205" s="686" t="s">
        <v>188</v>
      </c>
      <c r="Q205" s="683" t="s">
        <v>66</v>
      </c>
      <c r="R205" s="687">
        <v>0</v>
      </c>
      <c r="S205" s="684" t="s">
        <v>67</v>
      </c>
      <c r="T205" s="684" t="s">
        <v>68</v>
      </c>
      <c r="U205" s="684" t="s">
        <v>191</v>
      </c>
      <c r="V205" s="688">
        <v>3422121</v>
      </c>
      <c r="W205" s="689" t="s">
        <v>122</v>
      </c>
    </row>
    <row r="206" spans="1:23" s="613" customFormat="1" ht="24.95" customHeight="1" x14ac:dyDescent="0.25">
      <c r="A206" s="680">
        <v>93141708</v>
      </c>
      <c r="B206" s="681" t="s">
        <v>58</v>
      </c>
      <c r="C206" s="681" t="s">
        <v>182</v>
      </c>
      <c r="D206" s="681" t="s">
        <v>171</v>
      </c>
      <c r="E206" s="682" t="s">
        <v>183</v>
      </c>
      <c r="F206" s="682" t="s">
        <v>431</v>
      </c>
      <c r="G206" s="683">
        <v>1</v>
      </c>
      <c r="H206" s="683">
        <v>1</v>
      </c>
      <c r="I206" s="683">
        <v>11</v>
      </c>
      <c r="J206" s="683">
        <v>0</v>
      </c>
      <c r="K206" s="684" t="s">
        <v>83</v>
      </c>
      <c r="L206" s="682" t="s">
        <v>3</v>
      </c>
      <c r="M206" s="727">
        <v>37550073</v>
      </c>
      <c r="N206" s="722">
        <v>2018011000290</v>
      </c>
      <c r="O206" s="686" t="s">
        <v>2</v>
      </c>
      <c r="P206" s="686" t="s">
        <v>188</v>
      </c>
      <c r="Q206" s="683" t="s">
        <v>66</v>
      </c>
      <c r="R206" s="687">
        <v>0</v>
      </c>
      <c r="S206" s="684" t="s">
        <v>67</v>
      </c>
      <c r="T206" s="684" t="s">
        <v>68</v>
      </c>
      <c r="U206" s="684" t="s">
        <v>191</v>
      </c>
      <c r="V206" s="688">
        <v>3422121</v>
      </c>
      <c r="W206" s="689" t="s">
        <v>122</v>
      </c>
    </row>
    <row r="207" spans="1:23" s="613" customFormat="1" ht="24.95" customHeight="1" x14ac:dyDescent="0.25">
      <c r="A207" s="680">
        <v>93141708</v>
      </c>
      <c r="B207" s="681" t="s">
        <v>58</v>
      </c>
      <c r="C207" s="681" t="s">
        <v>182</v>
      </c>
      <c r="D207" s="681" t="s">
        <v>171</v>
      </c>
      <c r="E207" s="682" t="s">
        <v>183</v>
      </c>
      <c r="F207" s="682" t="s">
        <v>431</v>
      </c>
      <c r="G207" s="683">
        <v>1</v>
      </c>
      <c r="H207" s="683">
        <v>1</v>
      </c>
      <c r="I207" s="683">
        <v>11</v>
      </c>
      <c r="J207" s="683">
        <v>0</v>
      </c>
      <c r="K207" s="684" t="s">
        <v>83</v>
      </c>
      <c r="L207" s="682" t="s">
        <v>3</v>
      </c>
      <c r="M207" s="727">
        <v>154042</v>
      </c>
      <c r="N207" s="722">
        <v>2018011000290</v>
      </c>
      <c r="O207" s="686" t="s">
        <v>2</v>
      </c>
      <c r="P207" s="686" t="s">
        <v>78</v>
      </c>
      <c r="Q207" s="683"/>
      <c r="R207" s="687"/>
      <c r="S207" s="684"/>
      <c r="T207" s="684"/>
      <c r="U207" s="684"/>
      <c r="V207" s="688"/>
      <c r="W207" s="689"/>
    </row>
    <row r="208" spans="1:23" s="613" customFormat="1" ht="24.95" customHeight="1" x14ac:dyDescent="0.25">
      <c r="A208" s="680">
        <v>93141708</v>
      </c>
      <c r="B208" s="681" t="s">
        <v>58</v>
      </c>
      <c r="C208" s="681" t="s">
        <v>182</v>
      </c>
      <c r="D208" s="681" t="s">
        <v>171</v>
      </c>
      <c r="E208" s="682" t="s">
        <v>183</v>
      </c>
      <c r="F208" s="682" t="s">
        <v>431</v>
      </c>
      <c r="G208" s="683">
        <v>1</v>
      </c>
      <c r="H208" s="683">
        <v>1</v>
      </c>
      <c r="I208" s="683">
        <v>11</v>
      </c>
      <c r="J208" s="683">
        <v>0</v>
      </c>
      <c r="K208" s="684" t="s">
        <v>83</v>
      </c>
      <c r="L208" s="682" t="s">
        <v>10</v>
      </c>
      <c r="M208" s="727">
        <v>488285</v>
      </c>
      <c r="N208" s="722">
        <v>2018011000284</v>
      </c>
      <c r="O208" s="686" t="s">
        <v>11</v>
      </c>
      <c r="P208" s="686" t="s">
        <v>185</v>
      </c>
      <c r="Q208" s="683"/>
      <c r="R208" s="687"/>
      <c r="S208" s="684"/>
      <c r="T208" s="684"/>
      <c r="U208" s="684"/>
      <c r="V208" s="688"/>
      <c r="W208" s="689"/>
    </row>
    <row r="209" spans="1:23" s="613" customFormat="1" ht="24.95" customHeight="1" x14ac:dyDescent="0.25">
      <c r="A209" s="680" t="s">
        <v>432</v>
      </c>
      <c r="B209" s="681" t="s">
        <v>58</v>
      </c>
      <c r="C209" s="681" t="s">
        <v>182</v>
      </c>
      <c r="D209" s="681" t="s">
        <v>171</v>
      </c>
      <c r="E209" s="682" t="s">
        <v>183</v>
      </c>
      <c r="F209" s="682" t="s">
        <v>433</v>
      </c>
      <c r="G209" s="683">
        <v>1</v>
      </c>
      <c r="H209" s="683">
        <v>1</v>
      </c>
      <c r="I209" s="683">
        <v>10</v>
      </c>
      <c r="J209" s="683">
        <v>20</v>
      </c>
      <c r="K209" s="684" t="s">
        <v>83</v>
      </c>
      <c r="L209" s="682" t="s">
        <v>10</v>
      </c>
      <c r="M209" s="727">
        <v>37061788</v>
      </c>
      <c r="N209" s="722">
        <v>2018011000284</v>
      </c>
      <c r="O209" s="686" t="s">
        <v>11</v>
      </c>
      <c r="P209" s="686" t="s">
        <v>185</v>
      </c>
      <c r="Q209" s="683" t="s">
        <v>66</v>
      </c>
      <c r="R209" s="687">
        <v>0</v>
      </c>
      <c r="S209" s="684" t="s">
        <v>67</v>
      </c>
      <c r="T209" s="684" t="s">
        <v>68</v>
      </c>
      <c r="U209" s="684" t="s">
        <v>121</v>
      </c>
      <c r="V209" s="688">
        <v>3422121</v>
      </c>
      <c r="W209" s="689" t="s">
        <v>122</v>
      </c>
    </row>
    <row r="210" spans="1:23" s="613" customFormat="1" ht="24.95" customHeight="1" x14ac:dyDescent="0.25">
      <c r="A210" s="680" t="s">
        <v>432</v>
      </c>
      <c r="B210" s="681" t="s">
        <v>58</v>
      </c>
      <c r="C210" s="681" t="s">
        <v>182</v>
      </c>
      <c r="D210" s="681" t="s">
        <v>171</v>
      </c>
      <c r="E210" s="682" t="s">
        <v>183</v>
      </c>
      <c r="F210" s="682" t="s">
        <v>434</v>
      </c>
      <c r="G210" s="683">
        <v>1</v>
      </c>
      <c r="H210" s="683">
        <v>1</v>
      </c>
      <c r="I210" s="683">
        <v>10</v>
      </c>
      <c r="J210" s="683">
        <v>15</v>
      </c>
      <c r="K210" s="684" t="s">
        <v>83</v>
      </c>
      <c r="L210" s="682" t="s">
        <v>3</v>
      </c>
      <c r="M210" s="727">
        <v>16810437</v>
      </c>
      <c r="N210" s="722">
        <v>2018011000290</v>
      </c>
      <c r="O210" s="686" t="s">
        <v>2</v>
      </c>
      <c r="P210" s="686" t="s">
        <v>188</v>
      </c>
      <c r="Q210" s="683" t="s">
        <v>66</v>
      </c>
      <c r="R210" s="687">
        <v>0</v>
      </c>
      <c r="S210" s="684" t="s">
        <v>67</v>
      </c>
      <c r="T210" s="684" t="s">
        <v>68</v>
      </c>
      <c r="U210" s="684" t="s">
        <v>191</v>
      </c>
      <c r="V210" s="688">
        <v>3422121</v>
      </c>
      <c r="W210" s="689" t="s">
        <v>122</v>
      </c>
    </row>
    <row r="211" spans="1:23" s="613" customFormat="1" ht="24.95" customHeight="1" x14ac:dyDescent="0.25">
      <c r="A211" s="680">
        <v>86141501</v>
      </c>
      <c r="B211" s="681" t="s">
        <v>58</v>
      </c>
      <c r="C211" s="681" t="s">
        <v>198</v>
      </c>
      <c r="D211" s="681" t="s">
        <v>203</v>
      </c>
      <c r="E211" s="682" t="s">
        <v>435</v>
      </c>
      <c r="F211" s="682" t="s">
        <v>436</v>
      </c>
      <c r="G211" s="683">
        <v>1</v>
      </c>
      <c r="H211" s="683">
        <v>1</v>
      </c>
      <c r="I211" s="683">
        <v>10</v>
      </c>
      <c r="J211" s="683">
        <v>15</v>
      </c>
      <c r="K211" s="684" t="s">
        <v>83</v>
      </c>
      <c r="L211" s="682" t="s">
        <v>3</v>
      </c>
      <c r="M211" s="727">
        <v>62008391</v>
      </c>
      <c r="N211" s="722">
        <v>2018011000284</v>
      </c>
      <c r="O211" s="686" t="s">
        <v>11</v>
      </c>
      <c r="P211" s="686" t="s">
        <v>205</v>
      </c>
      <c r="Q211" s="683" t="s">
        <v>66</v>
      </c>
      <c r="R211" s="687">
        <v>0</v>
      </c>
      <c r="S211" s="684" t="s">
        <v>67</v>
      </c>
      <c r="T211" s="684" t="s">
        <v>68</v>
      </c>
      <c r="U211" s="684" t="s">
        <v>121</v>
      </c>
      <c r="V211" s="688">
        <v>3422121</v>
      </c>
      <c r="W211" s="689" t="s">
        <v>122</v>
      </c>
    </row>
    <row r="212" spans="1:23" s="613" customFormat="1" ht="24.95" customHeight="1" x14ac:dyDescent="0.25">
      <c r="A212" s="680">
        <v>86141501</v>
      </c>
      <c r="B212" s="681" t="s">
        <v>58</v>
      </c>
      <c r="C212" s="681" t="s">
        <v>198</v>
      </c>
      <c r="D212" s="681" t="s">
        <v>60</v>
      </c>
      <c r="E212" s="682" t="s">
        <v>198</v>
      </c>
      <c r="F212" s="682" t="s">
        <v>437</v>
      </c>
      <c r="G212" s="683">
        <v>1</v>
      </c>
      <c r="H212" s="683">
        <v>1</v>
      </c>
      <c r="I212" s="683">
        <v>10</v>
      </c>
      <c r="J212" s="683">
        <v>15</v>
      </c>
      <c r="K212" s="684" t="s">
        <v>83</v>
      </c>
      <c r="L212" s="682" t="s">
        <v>3</v>
      </c>
      <c r="M212" s="727">
        <v>29772712</v>
      </c>
      <c r="N212" s="722">
        <v>2018011000290</v>
      </c>
      <c r="O212" s="686" t="s">
        <v>2</v>
      </c>
      <c r="P212" s="686" t="s">
        <v>120</v>
      </c>
      <c r="Q212" s="683" t="s">
        <v>66</v>
      </c>
      <c r="R212" s="687">
        <v>0</v>
      </c>
      <c r="S212" s="684" t="s">
        <v>67</v>
      </c>
      <c r="T212" s="684" t="s">
        <v>68</v>
      </c>
      <c r="U212" s="684" t="s">
        <v>121</v>
      </c>
      <c r="V212" s="688">
        <v>3422121</v>
      </c>
      <c r="W212" s="689" t="s">
        <v>122</v>
      </c>
    </row>
    <row r="213" spans="1:23" s="613" customFormat="1" ht="24.95" customHeight="1" x14ac:dyDescent="0.25">
      <c r="A213" s="680">
        <v>86101710</v>
      </c>
      <c r="B213" s="681" t="s">
        <v>58</v>
      </c>
      <c r="C213" s="681" t="s">
        <v>198</v>
      </c>
      <c r="D213" s="681" t="s">
        <v>60</v>
      </c>
      <c r="E213" s="682" t="s">
        <v>438</v>
      </c>
      <c r="F213" s="682" t="s">
        <v>439</v>
      </c>
      <c r="G213" s="683">
        <v>1</v>
      </c>
      <c r="H213" s="683">
        <v>1</v>
      </c>
      <c r="I213" s="683">
        <v>9</v>
      </c>
      <c r="J213" s="683">
        <v>15</v>
      </c>
      <c r="K213" s="684" t="s">
        <v>83</v>
      </c>
      <c r="L213" s="682" t="s">
        <v>3</v>
      </c>
      <c r="M213" s="727">
        <v>20254950</v>
      </c>
      <c r="N213" s="722">
        <v>2018011000290</v>
      </c>
      <c r="O213" s="686" t="s">
        <v>2</v>
      </c>
      <c r="P213" s="686" t="s">
        <v>120</v>
      </c>
      <c r="Q213" s="683" t="s">
        <v>66</v>
      </c>
      <c r="R213" s="687">
        <v>0</v>
      </c>
      <c r="S213" s="684" t="s">
        <v>67</v>
      </c>
      <c r="T213" s="684" t="s">
        <v>68</v>
      </c>
      <c r="U213" s="684" t="s">
        <v>121</v>
      </c>
      <c r="V213" s="688">
        <v>3422121</v>
      </c>
      <c r="W213" s="689" t="s">
        <v>122</v>
      </c>
    </row>
    <row r="214" spans="1:23" s="613" customFormat="1" ht="24.95" customHeight="1" x14ac:dyDescent="0.25">
      <c r="A214" s="680">
        <v>80111621</v>
      </c>
      <c r="B214" s="681" t="s">
        <v>58</v>
      </c>
      <c r="C214" s="681" t="s">
        <v>198</v>
      </c>
      <c r="D214" s="681" t="s">
        <v>60</v>
      </c>
      <c r="E214" s="682" t="s">
        <v>198</v>
      </c>
      <c r="F214" s="682" t="s">
        <v>441</v>
      </c>
      <c r="G214" s="683">
        <v>2</v>
      </c>
      <c r="H214" s="683">
        <v>2</v>
      </c>
      <c r="I214" s="683">
        <v>9</v>
      </c>
      <c r="J214" s="683">
        <v>15</v>
      </c>
      <c r="K214" s="684" t="s">
        <v>83</v>
      </c>
      <c r="L214" s="682" t="s">
        <v>3</v>
      </c>
      <c r="M214" s="727">
        <v>13632821</v>
      </c>
      <c r="N214" s="722">
        <v>2018011000290</v>
      </c>
      <c r="O214" s="686" t="s">
        <v>2</v>
      </c>
      <c r="P214" s="686" t="s">
        <v>78</v>
      </c>
      <c r="Q214" s="683" t="s">
        <v>66</v>
      </c>
      <c r="R214" s="687">
        <v>0</v>
      </c>
      <c r="S214" s="684" t="s">
        <v>67</v>
      </c>
      <c r="T214" s="684" t="s">
        <v>68</v>
      </c>
      <c r="U214" s="684" t="s">
        <v>121</v>
      </c>
      <c r="V214" s="688">
        <v>3422121</v>
      </c>
      <c r="W214" s="689" t="s">
        <v>122</v>
      </c>
    </row>
    <row r="215" spans="1:23" s="613" customFormat="1" ht="24.95" customHeight="1" x14ac:dyDescent="0.25">
      <c r="A215" s="680">
        <v>80111621</v>
      </c>
      <c r="B215" s="681" t="s">
        <v>58</v>
      </c>
      <c r="C215" s="681" t="s">
        <v>198</v>
      </c>
      <c r="D215" s="681" t="s">
        <v>60</v>
      </c>
      <c r="E215" s="682" t="s">
        <v>198</v>
      </c>
      <c r="F215" s="682" t="s">
        <v>442</v>
      </c>
      <c r="G215" s="683">
        <v>1</v>
      </c>
      <c r="H215" s="683">
        <v>1</v>
      </c>
      <c r="I215" s="683">
        <v>9</v>
      </c>
      <c r="J215" s="683">
        <v>15</v>
      </c>
      <c r="K215" s="684" t="s">
        <v>83</v>
      </c>
      <c r="L215" s="682" t="s">
        <v>3</v>
      </c>
      <c r="M215" s="727">
        <v>6699334</v>
      </c>
      <c r="N215" s="722">
        <v>2018011000290</v>
      </c>
      <c r="O215" s="686" t="s">
        <v>2</v>
      </c>
      <c r="P215" s="686" t="s">
        <v>97</v>
      </c>
      <c r="Q215" s="683" t="s">
        <v>66</v>
      </c>
      <c r="R215" s="687">
        <v>0</v>
      </c>
      <c r="S215" s="684" t="s">
        <v>67</v>
      </c>
      <c r="T215" s="684" t="s">
        <v>68</v>
      </c>
      <c r="U215" s="684" t="s">
        <v>121</v>
      </c>
      <c r="V215" s="688">
        <v>3422121</v>
      </c>
      <c r="W215" s="689" t="s">
        <v>122</v>
      </c>
    </row>
    <row r="216" spans="1:23" s="613" customFormat="1" ht="24.95" customHeight="1" x14ac:dyDescent="0.25">
      <c r="A216" s="680">
        <v>80111621</v>
      </c>
      <c r="B216" s="681" t="s">
        <v>58</v>
      </c>
      <c r="C216" s="681" t="s">
        <v>198</v>
      </c>
      <c r="D216" s="681" t="s">
        <v>60</v>
      </c>
      <c r="E216" s="682" t="s">
        <v>198</v>
      </c>
      <c r="F216" s="682" t="s">
        <v>443</v>
      </c>
      <c r="G216" s="683">
        <v>2</v>
      </c>
      <c r="H216" s="683">
        <v>2</v>
      </c>
      <c r="I216" s="683">
        <v>9</v>
      </c>
      <c r="J216" s="683">
        <v>15</v>
      </c>
      <c r="K216" s="684" t="s">
        <v>83</v>
      </c>
      <c r="L216" s="682" t="s">
        <v>3</v>
      </c>
      <c r="M216" s="727">
        <v>19000000</v>
      </c>
      <c r="N216" s="722">
        <v>2018011000290</v>
      </c>
      <c r="O216" s="686" t="s">
        <v>2</v>
      </c>
      <c r="P216" s="686" t="s">
        <v>97</v>
      </c>
      <c r="Q216" s="683" t="s">
        <v>66</v>
      </c>
      <c r="R216" s="687">
        <v>0</v>
      </c>
      <c r="S216" s="684" t="s">
        <v>67</v>
      </c>
      <c r="T216" s="684" t="s">
        <v>68</v>
      </c>
      <c r="U216" s="684" t="s">
        <v>121</v>
      </c>
      <c r="V216" s="688">
        <v>3422121</v>
      </c>
      <c r="W216" s="689" t="s">
        <v>122</v>
      </c>
    </row>
    <row r="217" spans="1:23" s="613" customFormat="1" ht="24.95" customHeight="1" x14ac:dyDescent="0.25">
      <c r="A217" s="680" t="s">
        <v>444</v>
      </c>
      <c r="B217" s="681" t="s">
        <v>58</v>
      </c>
      <c r="C217" s="681" t="s">
        <v>198</v>
      </c>
      <c r="D217" s="681" t="s">
        <v>60</v>
      </c>
      <c r="E217" s="682" t="s">
        <v>198</v>
      </c>
      <c r="F217" s="682" t="s">
        <v>445</v>
      </c>
      <c r="G217" s="683">
        <v>1</v>
      </c>
      <c r="H217" s="683">
        <v>1</v>
      </c>
      <c r="I217" s="683">
        <v>9</v>
      </c>
      <c r="J217" s="683">
        <v>15</v>
      </c>
      <c r="K217" s="684" t="s">
        <v>83</v>
      </c>
      <c r="L217" s="682" t="s">
        <v>3</v>
      </c>
      <c r="M217" s="727">
        <v>34247500</v>
      </c>
      <c r="N217" s="722">
        <v>2018011000290</v>
      </c>
      <c r="O217" s="686" t="s">
        <v>2</v>
      </c>
      <c r="P217" s="686" t="s">
        <v>78</v>
      </c>
      <c r="Q217" s="683" t="s">
        <v>66</v>
      </c>
      <c r="R217" s="687">
        <v>0</v>
      </c>
      <c r="S217" s="684" t="s">
        <v>67</v>
      </c>
      <c r="T217" s="684" t="s">
        <v>68</v>
      </c>
      <c r="U217" s="684" t="s">
        <v>121</v>
      </c>
      <c r="V217" s="688">
        <v>3422121</v>
      </c>
      <c r="W217" s="689" t="s">
        <v>122</v>
      </c>
    </row>
    <row r="218" spans="1:23" s="613" customFormat="1" ht="24.95" customHeight="1" x14ac:dyDescent="0.25">
      <c r="A218" s="680">
        <v>83121703</v>
      </c>
      <c r="B218" s="681" t="s">
        <v>58</v>
      </c>
      <c r="C218" s="681" t="s">
        <v>162</v>
      </c>
      <c r="D218" s="681" t="s">
        <v>163</v>
      </c>
      <c r="E218" s="682" t="s">
        <v>164</v>
      </c>
      <c r="F218" s="682" t="s">
        <v>446</v>
      </c>
      <c r="G218" s="683">
        <v>1</v>
      </c>
      <c r="H218" s="683">
        <v>1</v>
      </c>
      <c r="I218" s="683">
        <v>11</v>
      </c>
      <c r="J218" s="683">
        <v>0</v>
      </c>
      <c r="K218" s="684" t="s">
        <v>83</v>
      </c>
      <c r="L218" s="682" t="s">
        <v>3</v>
      </c>
      <c r="M218" s="727">
        <v>38500000</v>
      </c>
      <c r="N218" s="722">
        <v>2018011000290</v>
      </c>
      <c r="O218" s="686" t="s">
        <v>2</v>
      </c>
      <c r="P218" s="686" t="s">
        <v>78</v>
      </c>
      <c r="Q218" s="683" t="s">
        <v>66</v>
      </c>
      <c r="R218" s="687">
        <v>0</v>
      </c>
      <c r="S218" s="684" t="s">
        <v>67</v>
      </c>
      <c r="T218" s="684" t="s">
        <v>68</v>
      </c>
      <c r="U218" s="684" t="s">
        <v>121</v>
      </c>
      <c r="V218" s="688">
        <v>3422121</v>
      </c>
      <c r="W218" s="689" t="s">
        <v>122</v>
      </c>
    </row>
    <row r="219" spans="1:23" s="613" customFormat="1" ht="24.95" customHeight="1" x14ac:dyDescent="0.25">
      <c r="A219" s="680">
        <v>86141501</v>
      </c>
      <c r="B219" s="681" t="s">
        <v>58</v>
      </c>
      <c r="C219" s="681" t="s">
        <v>198</v>
      </c>
      <c r="D219" s="681" t="s">
        <v>203</v>
      </c>
      <c r="E219" s="682" t="s">
        <v>435</v>
      </c>
      <c r="F219" s="682" t="s">
        <v>436</v>
      </c>
      <c r="G219" s="683">
        <v>1</v>
      </c>
      <c r="H219" s="683">
        <v>1</v>
      </c>
      <c r="I219" s="683">
        <v>10</v>
      </c>
      <c r="J219" s="683">
        <v>15</v>
      </c>
      <c r="K219" s="684" t="s">
        <v>83</v>
      </c>
      <c r="L219" s="682" t="s">
        <v>3</v>
      </c>
      <c r="M219" s="727">
        <v>19104109</v>
      </c>
      <c r="N219" s="722">
        <v>2018011000284</v>
      </c>
      <c r="O219" s="686" t="s">
        <v>11</v>
      </c>
      <c r="P219" s="686" t="s">
        <v>261</v>
      </c>
      <c r="Q219" s="683" t="s">
        <v>66</v>
      </c>
      <c r="R219" s="687">
        <v>0</v>
      </c>
      <c r="S219" s="684" t="s">
        <v>67</v>
      </c>
      <c r="T219" s="684" t="s">
        <v>68</v>
      </c>
      <c r="U219" s="684" t="s">
        <v>121</v>
      </c>
      <c r="V219" s="688">
        <v>3422121</v>
      </c>
      <c r="W219" s="689" t="s">
        <v>122</v>
      </c>
    </row>
    <row r="220" spans="1:23" s="613" customFormat="1" ht="24.95" customHeight="1" x14ac:dyDescent="0.25">
      <c r="A220" s="680">
        <v>86101710</v>
      </c>
      <c r="B220" s="681" t="s">
        <v>58</v>
      </c>
      <c r="C220" s="681" t="s">
        <v>59</v>
      </c>
      <c r="D220" s="681" t="s">
        <v>60</v>
      </c>
      <c r="E220" s="682" t="s">
        <v>72</v>
      </c>
      <c r="F220" s="682" t="s">
        <v>448</v>
      </c>
      <c r="G220" s="683">
        <v>6</v>
      </c>
      <c r="H220" s="683">
        <v>4</v>
      </c>
      <c r="I220" s="683">
        <v>2</v>
      </c>
      <c r="J220" s="683">
        <v>0</v>
      </c>
      <c r="K220" s="684" t="s">
        <v>83</v>
      </c>
      <c r="L220" s="682" t="s">
        <v>3</v>
      </c>
      <c r="M220" s="727">
        <v>9658311</v>
      </c>
      <c r="N220" s="722">
        <v>2018011000290</v>
      </c>
      <c r="O220" s="686" t="s">
        <v>2</v>
      </c>
      <c r="P220" s="686" t="s">
        <v>64</v>
      </c>
      <c r="Q220" s="683" t="s">
        <v>66</v>
      </c>
      <c r="R220" s="687">
        <v>0</v>
      </c>
      <c r="S220" s="684" t="s">
        <v>67</v>
      </c>
      <c r="T220" s="684" t="s">
        <v>68</v>
      </c>
      <c r="U220" s="684" t="s">
        <v>69</v>
      </c>
      <c r="V220" s="688">
        <v>3422121</v>
      </c>
      <c r="W220" s="689" t="s">
        <v>70</v>
      </c>
    </row>
    <row r="221" spans="1:23" s="613" customFormat="1" ht="24.95" customHeight="1" x14ac:dyDescent="0.25">
      <c r="A221" s="680" t="s">
        <v>449</v>
      </c>
      <c r="B221" s="681" t="s">
        <v>270</v>
      </c>
      <c r="C221" s="681" t="s">
        <v>271</v>
      </c>
      <c r="D221" s="681" t="s">
        <v>203</v>
      </c>
      <c r="E221" s="682" t="s">
        <v>450</v>
      </c>
      <c r="F221" s="682" t="s">
        <v>451</v>
      </c>
      <c r="G221" s="683">
        <v>1</v>
      </c>
      <c r="H221" s="683">
        <v>1</v>
      </c>
      <c r="I221" s="683">
        <v>10</v>
      </c>
      <c r="J221" s="683">
        <v>11</v>
      </c>
      <c r="K221" s="684" t="s">
        <v>83</v>
      </c>
      <c r="L221" s="682" t="s">
        <v>3</v>
      </c>
      <c r="M221" s="727">
        <v>53888089</v>
      </c>
      <c r="N221" s="722">
        <v>2018011000284</v>
      </c>
      <c r="O221" s="686" t="s">
        <v>11</v>
      </c>
      <c r="P221" s="686" t="s">
        <v>261</v>
      </c>
      <c r="Q221" s="683" t="s">
        <v>66</v>
      </c>
      <c r="R221" s="687">
        <v>0</v>
      </c>
      <c r="S221" s="684" t="s">
        <v>67</v>
      </c>
      <c r="T221" s="684" t="s">
        <v>68</v>
      </c>
      <c r="U221" s="684" t="s">
        <v>274</v>
      </c>
      <c r="V221" s="688">
        <v>3422121</v>
      </c>
      <c r="W221" s="689" t="s">
        <v>275</v>
      </c>
    </row>
    <row r="222" spans="1:23" s="613" customFormat="1" ht="24.95" customHeight="1" x14ac:dyDescent="0.25">
      <c r="A222" s="680" t="s">
        <v>452</v>
      </c>
      <c r="B222" s="681" t="s">
        <v>58</v>
      </c>
      <c r="C222" s="681" t="s">
        <v>198</v>
      </c>
      <c r="D222" s="681" t="s">
        <v>60</v>
      </c>
      <c r="E222" s="682" t="s">
        <v>198</v>
      </c>
      <c r="F222" s="682" t="s">
        <v>453</v>
      </c>
      <c r="G222" s="683">
        <v>5</v>
      </c>
      <c r="H222" s="683">
        <v>5</v>
      </c>
      <c r="I222" s="683">
        <v>5</v>
      </c>
      <c r="J222" s="683">
        <v>0</v>
      </c>
      <c r="K222" s="684" t="s">
        <v>83</v>
      </c>
      <c r="L222" s="682" t="s">
        <v>3</v>
      </c>
      <c r="M222" s="727">
        <v>8000000</v>
      </c>
      <c r="N222" s="722">
        <v>2018011000290</v>
      </c>
      <c r="O222" s="686" t="s">
        <v>2</v>
      </c>
      <c r="P222" s="686" t="s">
        <v>78</v>
      </c>
      <c r="Q222" s="683" t="s">
        <v>66</v>
      </c>
      <c r="R222" s="687">
        <v>0</v>
      </c>
      <c r="S222" s="684" t="s">
        <v>67</v>
      </c>
      <c r="T222" s="684" t="s">
        <v>68</v>
      </c>
      <c r="U222" s="684" t="s">
        <v>121</v>
      </c>
      <c r="V222" s="688">
        <v>3422121</v>
      </c>
      <c r="W222" s="689" t="s">
        <v>122</v>
      </c>
    </row>
    <row r="223" spans="1:23" s="613" customFormat="1" ht="24.95" customHeight="1" x14ac:dyDescent="0.25">
      <c r="A223" s="680">
        <v>90121603</v>
      </c>
      <c r="B223" s="681" t="s">
        <v>58</v>
      </c>
      <c r="C223" s="681" t="s">
        <v>94</v>
      </c>
      <c r="D223" s="681" t="s">
        <v>94</v>
      </c>
      <c r="E223" s="682" t="s">
        <v>351</v>
      </c>
      <c r="F223" s="682" t="s">
        <v>454</v>
      </c>
      <c r="G223" s="683">
        <v>6</v>
      </c>
      <c r="H223" s="683"/>
      <c r="I223" s="683">
        <v>0</v>
      </c>
      <c r="J223" s="683">
        <v>0</v>
      </c>
      <c r="K223" s="684" t="s">
        <v>83</v>
      </c>
      <c r="L223" s="682" t="s">
        <v>10</v>
      </c>
      <c r="M223" s="727">
        <v>3200000</v>
      </c>
      <c r="N223" s="722">
        <v>2018011000290</v>
      </c>
      <c r="O223" s="686" t="s">
        <v>2</v>
      </c>
      <c r="P223" s="686" t="s">
        <v>78</v>
      </c>
      <c r="Q223" s="683" t="s">
        <v>66</v>
      </c>
      <c r="R223" s="687">
        <v>0</v>
      </c>
      <c r="S223" s="684" t="s">
        <v>67</v>
      </c>
      <c r="T223" s="684" t="s">
        <v>68</v>
      </c>
      <c r="U223" s="684" t="s">
        <v>99</v>
      </c>
      <c r="V223" s="688">
        <v>3422121</v>
      </c>
      <c r="W223" s="689" t="s">
        <v>100</v>
      </c>
    </row>
    <row r="224" spans="1:23" s="613" customFormat="1" ht="24.95" customHeight="1" x14ac:dyDescent="0.25">
      <c r="A224" s="680">
        <v>90121603</v>
      </c>
      <c r="B224" s="681" t="s">
        <v>58</v>
      </c>
      <c r="C224" s="681" t="s">
        <v>94</v>
      </c>
      <c r="D224" s="681" t="s">
        <v>94</v>
      </c>
      <c r="E224" s="682" t="s">
        <v>455</v>
      </c>
      <c r="F224" s="682" t="s">
        <v>456</v>
      </c>
      <c r="G224" s="683">
        <v>4</v>
      </c>
      <c r="H224" s="683"/>
      <c r="I224" s="683">
        <v>0</v>
      </c>
      <c r="J224" s="683">
        <v>0</v>
      </c>
      <c r="K224" s="684" t="s">
        <v>83</v>
      </c>
      <c r="L224" s="682" t="s">
        <v>3</v>
      </c>
      <c r="M224" s="727">
        <v>606956</v>
      </c>
      <c r="N224" s="722">
        <v>2018011000290</v>
      </c>
      <c r="O224" s="686" t="s">
        <v>2</v>
      </c>
      <c r="P224" s="686" t="s">
        <v>78</v>
      </c>
      <c r="Q224" s="683" t="s">
        <v>66</v>
      </c>
      <c r="R224" s="687">
        <v>0</v>
      </c>
      <c r="S224" s="684" t="s">
        <v>67</v>
      </c>
      <c r="T224" s="684" t="s">
        <v>68</v>
      </c>
      <c r="U224" s="684" t="s">
        <v>99</v>
      </c>
      <c r="V224" s="688">
        <v>3422121</v>
      </c>
      <c r="W224" s="689" t="s">
        <v>100</v>
      </c>
    </row>
    <row r="225" spans="1:23" s="613" customFormat="1" ht="24.95" customHeight="1" x14ac:dyDescent="0.25">
      <c r="A225" s="680">
        <v>90121603</v>
      </c>
      <c r="B225" s="681" t="s">
        <v>58</v>
      </c>
      <c r="C225" s="681" t="s">
        <v>94</v>
      </c>
      <c r="D225" s="681" t="s">
        <v>94</v>
      </c>
      <c r="E225" s="682" t="s">
        <v>455</v>
      </c>
      <c r="F225" s="682" t="s">
        <v>456</v>
      </c>
      <c r="G225" s="683">
        <v>1</v>
      </c>
      <c r="H225" s="683">
        <v>1</v>
      </c>
      <c r="I225" s="683">
        <v>0</v>
      </c>
      <c r="J225" s="683">
        <v>0</v>
      </c>
      <c r="K225" s="684" t="s">
        <v>83</v>
      </c>
      <c r="L225" s="682" t="s">
        <v>10</v>
      </c>
      <c r="M225" s="727">
        <v>193044</v>
      </c>
      <c r="N225" s="722">
        <v>2018011000290</v>
      </c>
      <c r="O225" s="686" t="s">
        <v>2</v>
      </c>
      <c r="P225" s="686" t="s">
        <v>78</v>
      </c>
      <c r="Q225" s="683" t="s">
        <v>66</v>
      </c>
      <c r="R225" s="687">
        <v>0</v>
      </c>
      <c r="S225" s="684" t="s">
        <v>67</v>
      </c>
      <c r="T225" s="684" t="s">
        <v>68</v>
      </c>
      <c r="U225" s="684" t="s">
        <v>99</v>
      </c>
      <c r="V225" s="688">
        <v>3422121</v>
      </c>
      <c r="W225" s="689" t="s">
        <v>100</v>
      </c>
    </row>
    <row r="226" spans="1:23" s="613" customFormat="1" ht="24.95" customHeight="1" x14ac:dyDescent="0.25">
      <c r="A226" s="680">
        <v>90121603</v>
      </c>
      <c r="B226" s="681" t="s">
        <v>58</v>
      </c>
      <c r="C226" s="681" t="s">
        <v>94</v>
      </c>
      <c r="D226" s="681" t="s">
        <v>94</v>
      </c>
      <c r="E226" s="682" t="s">
        <v>351</v>
      </c>
      <c r="F226" s="682" t="s">
        <v>457</v>
      </c>
      <c r="G226" s="683">
        <v>6</v>
      </c>
      <c r="H226" s="683"/>
      <c r="I226" s="683">
        <v>0</v>
      </c>
      <c r="J226" s="683">
        <v>0</v>
      </c>
      <c r="K226" s="684" t="s">
        <v>83</v>
      </c>
      <c r="L226" s="682" t="s">
        <v>3</v>
      </c>
      <c r="M226" s="727">
        <v>1090963</v>
      </c>
      <c r="N226" s="722">
        <v>2018011000290</v>
      </c>
      <c r="O226" s="686" t="s">
        <v>2</v>
      </c>
      <c r="P226" s="686" t="s">
        <v>78</v>
      </c>
      <c r="Q226" s="683" t="s">
        <v>66</v>
      </c>
      <c r="R226" s="687">
        <v>0</v>
      </c>
      <c r="S226" s="684" t="s">
        <v>67</v>
      </c>
      <c r="T226" s="684" t="s">
        <v>68</v>
      </c>
      <c r="U226" s="684" t="s">
        <v>99</v>
      </c>
      <c r="V226" s="688">
        <v>3422121</v>
      </c>
      <c r="W226" s="689" t="s">
        <v>100</v>
      </c>
    </row>
    <row r="227" spans="1:23" s="613" customFormat="1" ht="24.95" customHeight="1" x14ac:dyDescent="0.25">
      <c r="A227" s="680">
        <v>90121604</v>
      </c>
      <c r="B227" s="681" t="s">
        <v>58</v>
      </c>
      <c r="C227" s="681" t="s">
        <v>94</v>
      </c>
      <c r="D227" s="681" t="s">
        <v>94</v>
      </c>
      <c r="E227" s="682" t="s">
        <v>351</v>
      </c>
      <c r="F227" s="682" t="s">
        <v>457</v>
      </c>
      <c r="G227" s="683">
        <v>7</v>
      </c>
      <c r="H227" s="683"/>
      <c r="I227" s="683">
        <v>0</v>
      </c>
      <c r="J227" s="683">
        <v>0</v>
      </c>
      <c r="K227" s="684" t="s">
        <v>83</v>
      </c>
      <c r="L227" s="682" t="s">
        <v>10</v>
      </c>
      <c r="M227" s="727">
        <v>2148</v>
      </c>
      <c r="N227" s="722">
        <v>2018011000290</v>
      </c>
      <c r="O227" s="686" t="s">
        <v>2</v>
      </c>
      <c r="P227" s="686" t="s">
        <v>97</v>
      </c>
      <c r="Q227" s="683" t="s">
        <v>66</v>
      </c>
      <c r="R227" s="687">
        <v>0</v>
      </c>
      <c r="S227" s="684" t="s">
        <v>67</v>
      </c>
      <c r="T227" s="684" t="s">
        <v>68</v>
      </c>
      <c r="U227" s="684" t="s">
        <v>99</v>
      </c>
      <c r="V227" s="688">
        <v>3422121</v>
      </c>
      <c r="W227" s="689" t="s">
        <v>100</v>
      </c>
    </row>
    <row r="228" spans="1:23" s="613" customFormat="1" ht="24.95" customHeight="1" x14ac:dyDescent="0.25">
      <c r="A228" s="680">
        <v>90121603</v>
      </c>
      <c r="B228" s="681" t="s">
        <v>58</v>
      </c>
      <c r="C228" s="681" t="s">
        <v>94</v>
      </c>
      <c r="D228" s="681" t="s">
        <v>94</v>
      </c>
      <c r="E228" s="682" t="s">
        <v>351</v>
      </c>
      <c r="F228" s="682" t="s">
        <v>458</v>
      </c>
      <c r="G228" s="683">
        <v>1</v>
      </c>
      <c r="H228" s="683">
        <v>1</v>
      </c>
      <c r="I228" s="683">
        <v>0</v>
      </c>
      <c r="J228" s="683">
        <v>0</v>
      </c>
      <c r="K228" s="684" t="s">
        <v>83</v>
      </c>
      <c r="L228" s="682" t="s">
        <v>10</v>
      </c>
      <c r="M228" s="727">
        <v>106889</v>
      </c>
      <c r="N228" s="722">
        <v>2018011000290</v>
      </c>
      <c r="O228" s="686" t="s">
        <v>2</v>
      </c>
      <c r="P228" s="686" t="s">
        <v>78</v>
      </c>
      <c r="Q228" s="683" t="s">
        <v>66</v>
      </c>
      <c r="R228" s="687">
        <v>0</v>
      </c>
      <c r="S228" s="684" t="s">
        <v>67</v>
      </c>
      <c r="T228" s="684" t="s">
        <v>68</v>
      </c>
      <c r="U228" s="684" t="s">
        <v>99</v>
      </c>
      <c r="V228" s="688">
        <v>3422121</v>
      </c>
      <c r="W228" s="689" t="s">
        <v>100</v>
      </c>
    </row>
    <row r="229" spans="1:23" s="613" customFormat="1" ht="24.95" customHeight="1" x14ac:dyDescent="0.25">
      <c r="A229" s="680">
        <v>78141500</v>
      </c>
      <c r="B229" s="681" t="s">
        <v>58</v>
      </c>
      <c r="C229" s="681" t="s">
        <v>162</v>
      </c>
      <c r="D229" s="681" t="s">
        <v>163</v>
      </c>
      <c r="E229" s="682" t="s">
        <v>164</v>
      </c>
      <c r="F229" s="682" t="s">
        <v>459</v>
      </c>
      <c r="G229" s="683">
        <v>1</v>
      </c>
      <c r="H229" s="683">
        <v>1</v>
      </c>
      <c r="I229" s="683">
        <v>1</v>
      </c>
      <c r="J229" s="683">
        <v>0</v>
      </c>
      <c r="K229" s="684" t="s">
        <v>83</v>
      </c>
      <c r="L229" s="682" t="s">
        <v>10</v>
      </c>
      <c r="M229" s="727">
        <v>700000</v>
      </c>
      <c r="N229" s="722">
        <v>2018011000290</v>
      </c>
      <c r="O229" s="686" t="s">
        <v>2</v>
      </c>
      <c r="P229" s="686" t="s">
        <v>78</v>
      </c>
      <c r="Q229" s="683" t="s">
        <v>66</v>
      </c>
      <c r="R229" s="687">
        <v>0</v>
      </c>
      <c r="S229" s="684" t="s">
        <v>67</v>
      </c>
      <c r="T229" s="684" t="s">
        <v>68</v>
      </c>
      <c r="U229" s="684" t="s">
        <v>121</v>
      </c>
      <c r="V229" s="688">
        <v>3422121</v>
      </c>
      <c r="W229" s="689" t="s">
        <v>122</v>
      </c>
    </row>
    <row r="230" spans="1:23" s="613" customFormat="1" ht="24.95" customHeight="1" x14ac:dyDescent="0.25">
      <c r="A230" s="680">
        <v>78141500</v>
      </c>
      <c r="B230" s="681" t="s">
        <v>58</v>
      </c>
      <c r="C230" s="681" t="s">
        <v>94</v>
      </c>
      <c r="D230" s="681" t="s">
        <v>94</v>
      </c>
      <c r="E230" s="682" t="s">
        <v>351</v>
      </c>
      <c r="F230" s="682" t="s">
        <v>460</v>
      </c>
      <c r="G230" s="683">
        <v>6</v>
      </c>
      <c r="H230" s="683"/>
      <c r="I230" s="683">
        <v>0</v>
      </c>
      <c r="J230" s="683">
        <v>0</v>
      </c>
      <c r="K230" s="684" t="s">
        <v>83</v>
      </c>
      <c r="L230" s="682" t="s">
        <v>10</v>
      </c>
      <c r="M230" s="727">
        <v>800000</v>
      </c>
      <c r="N230" s="722">
        <v>2018011000290</v>
      </c>
      <c r="O230" s="686" t="s">
        <v>2</v>
      </c>
      <c r="P230" s="686" t="s">
        <v>78</v>
      </c>
      <c r="Q230" s="683" t="s">
        <v>66</v>
      </c>
      <c r="R230" s="687">
        <v>0</v>
      </c>
      <c r="S230" s="684" t="s">
        <v>67</v>
      </c>
      <c r="T230" s="684" t="s">
        <v>68</v>
      </c>
      <c r="U230" s="684" t="s">
        <v>99</v>
      </c>
      <c r="V230" s="688">
        <v>3422121</v>
      </c>
      <c r="W230" s="689" t="s">
        <v>100</v>
      </c>
    </row>
    <row r="231" spans="1:23" s="613" customFormat="1" ht="24.95" customHeight="1" x14ac:dyDescent="0.25">
      <c r="A231" s="680">
        <v>78141500</v>
      </c>
      <c r="B231" s="681" t="s">
        <v>58</v>
      </c>
      <c r="C231" s="681" t="s">
        <v>94</v>
      </c>
      <c r="D231" s="681" t="s">
        <v>94</v>
      </c>
      <c r="E231" s="682" t="s">
        <v>351</v>
      </c>
      <c r="F231" s="682" t="s">
        <v>461</v>
      </c>
      <c r="G231" s="683">
        <v>6</v>
      </c>
      <c r="H231" s="683"/>
      <c r="I231" s="683">
        <v>0</v>
      </c>
      <c r="J231" s="683">
        <v>0</v>
      </c>
      <c r="K231" s="684" t="s">
        <v>83</v>
      </c>
      <c r="L231" s="682" t="s">
        <v>10</v>
      </c>
      <c r="M231" s="727">
        <v>300000</v>
      </c>
      <c r="N231" s="722">
        <v>2018011000290</v>
      </c>
      <c r="O231" s="686" t="s">
        <v>2</v>
      </c>
      <c r="P231" s="686" t="s">
        <v>78</v>
      </c>
      <c r="Q231" s="683" t="s">
        <v>66</v>
      </c>
      <c r="R231" s="687">
        <v>0</v>
      </c>
      <c r="S231" s="684" t="s">
        <v>67</v>
      </c>
      <c r="T231" s="684" t="s">
        <v>68</v>
      </c>
      <c r="U231" s="684" t="s">
        <v>99</v>
      </c>
      <c r="V231" s="688">
        <v>3422121</v>
      </c>
      <c r="W231" s="689" t="s">
        <v>100</v>
      </c>
    </row>
    <row r="232" spans="1:23" s="613" customFormat="1" ht="24.95" customHeight="1" x14ac:dyDescent="0.25">
      <c r="A232" s="680">
        <v>78141500</v>
      </c>
      <c r="B232" s="681" t="s">
        <v>58</v>
      </c>
      <c r="C232" s="681" t="s">
        <v>94</v>
      </c>
      <c r="D232" s="681" t="s">
        <v>94</v>
      </c>
      <c r="E232" s="682" t="s">
        <v>351</v>
      </c>
      <c r="F232" s="682" t="s">
        <v>462</v>
      </c>
      <c r="G232" s="683">
        <v>6</v>
      </c>
      <c r="H232" s="683"/>
      <c r="I232" s="683">
        <v>0</v>
      </c>
      <c r="J232" s="683">
        <v>0</v>
      </c>
      <c r="K232" s="684" t="s">
        <v>83</v>
      </c>
      <c r="L232" s="682" t="s">
        <v>10</v>
      </c>
      <c r="M232" s="727">
        <v>200000</v>
      </c>
      <c r="N232" s="722">
        <v>2018011000290</v>
      </c>
      <c r="O232" s="686" t="s">
        <v>2</v>
      </c>
      <c r="P232" s="686" t="s">
        <v>97</v>
      </c>
      <c r="Q232" s="683" t="s">
        <v>66</v>
      </c>
      <c r="R232" s="687">
        <v>0</v>
      </c>
      <c r="S232" s="684" t="s">
        <v>67</v>
      </c>
      <c r="T232" s="684" t="s">
        <v>68</v>
      </c>
      <c r="U232" s="684" t="s">
        <v>99</v>
      </c>
      <c r="V232" s="688">
        <v>3422121</v>
      </c>
      <c r="W232" s="689" t="s">
        <v>100</v>
      </c>
    </row>
    <row r="233" spans="1:23" s="613" customFormat="1" ht="24.95" customHeight="1" x14ac:dyDescent="0.25">
      <c r="A233" s="680">
        <v>78141500</v>
      </c>
      <c r="B233" s="681" t="s">
        <v>58</v>
      </c>
      <c r="C233" s="681" t="s">
        <v>94</v>
      </c>
      <c r="D233" s="681" t="s">
        <v>94</v>
      </c>
      <c r="E233" s="682" t="s">
        <v>455</v>
      </c>
      <c r="F233" s="682" t="s">
        <v>463</v>
      </c>
      <c r="G233" s="683">
        <v>4</v>
      </c>
      <c r="H233" s="683"/>
      <c r="I233" s="683">
        <v>0</v>
      </c>
      <c r="J233" s="683">
        <v>0</v>
      </c>
      <c r="K233" s="684" t="s">
        <v>83</v>
      </c>
      <c r="L233" s="682" t="s">
        <v>10</v>
      </c>
      <c r="M233" s="727">
        <v>800000</v>
      </c>
      <c r="N233" s="722">
        <v>2018011000290</v>
      </c>
      <c r="O233" s="686" t="s">
        <v>2</v>
      </c>
      <c r="P233" s="686" t="s">
        <v>78</v>
      </c>
      <c r="Q233" s="683" t="s">
        <v>66</v>
      </c>
      <c r="R233" s="687">
        <v>0</v>
      </c>
      <c r="S233" s="684" t="s">
        <v>67</v>
      </c>
      <c r="T233" s="684" t="s">
        <v>68</v>
      </c>
      <c r="U233" s="684" t="s">
        <v>99</v>
      </c>
      <c r="V233" s="688">
        <v>3422121</v>
      </c>
      <c r="W233" s="689" t="s">
        <v>100</v>
      </c>
    </row>
    <row r="234" spans="1:23" s="613" customFormat="1" ht="24.95" customHeight="1" x14ac:dyDescent="0.25">
      <c r="A234" s="680">
        <v>80161504</v>
      </c>
      <c r="B234" s="681" t="s">
        <v>58</v>
      </c>
      <c r="C234" s="681" t="s">
        <v>59</v>
      </c>
      <c r="D234" s="681" t="s">
        <v>60</v>
      </c>
      <c r="E234" s="682" t="s">
        <v>89</v>
      </c>
      <c r="F234" s="682" t="s">
        <v>464</v>
      </c>
      <c r="G234" s="683">
        <v>1</v>
      </c>
      <c r="H234" s="683">
        <v>1</v>
      </c>
      <c r="I234" s="683">
        <v>11</v>
      </c>
      <c r="J234" s="683">
        <v>0</v>
      </c>
      <c r="K234" s="684" t="s">
        <v>83</v>
      </c>
      <c r="L234" s="682" t="s">
        <v>10</v>
      </c>
      <c r="M234" s="727">
        <v>15000000</v>
      </c>
      <c r="N234" s="722">
        <v>2018011000290</v>
      </c>
      <c r="O234" s="686" t="s">
        <v>2</v>
      </c>
      <c r="P234" s="686" t="s">
        <v>78</v>
      </c>
      <c r="Q234" s="683" t="s">
        <v>66</v>
      </c>
      <c r="R234" s="687">
        <v>0</v>
      </c>
      <c r="S234" s="684" t="s">
        <v>67</v>
      </c>
      <c r="T234" s="684" t="s">
        <v>68</v>
      </c>
      <c r="U234" s="684" t="s">
        <v>69</v>
      </c>
      <c r="V234" s="688">
        <v>3422121</v>
      </c>
      <c r="W234" s="689" t="s">
        <v>70</v>
      </c>
    </row>
    <row r="235" spans="1:23" s="613" customFormat="1" ht="24.95" customHeight="1" x14ac:dyDescent="0.25">
      <c r="A235" s="680">
        <v>82121500</v>
      </c>
      <c r="B235" s="681" t="s">
        <v>58</v>
      </c>
      <c r="C235" s="681" t="s">
        <v>162</v>
      </c>
      <c r="D235" s="681" t="s">
        <v>163</v>
      </c>
      <c r="E235" s="682" t="s">
        <v>164</v>
      </c>
      <c r="F235" s="682" t="s">
        <v>465</v>
      </c>
      <c r="G235" s="683">
        <v>1</v>
      </c>
      <c r="H235" s="683">
        <v>1</v>
      </c>
      <c r="I235" s="683">
        <v>11</v>
      </c>
      <c r="J235" s="683">
        <v>0</v>
      </c>
      <c r="K235" s="684" t="s">
        <v>154</v>
      </c>
      <c r="L235" s="682" t="s">
        <v>10</v>
      </c>
      <c r="M235" s="727">
        <v>193044</v>
      </c>
      <c r="N235" s="722">
        <v>2018011000290</v>
      </c>
      <c r="O235" s="686" t="s">
        <v>2</v>
      </c>
      <c r="P235" s="686" t="s">
        <v>166</v>
      </c>
      <c r="Q235" s="683" t="s">
        <v>66</v>
      </c>
      <c r="R235" s="687">
        <v>0</v>
      </c>
      <c r="S235" s="684" t="s">
        <v>67</v>
      </c>
      <c r="T235" s="684" t="s">
        <v>68</v>
      </c>
      <c r="U235" s="684" t="s">
        <v>121</v>
      </c>
      <c r="V235" s="688">
        <v>3422121</v>
      </c>
      <c r="W235" s="689" t="s">
        <v>122</v>
      </c>
    </row>
    <row r="236" spans="1:23" s="613" customFormat="1" ht="24.95" customHeight="1" x14ac:dyDescent="0.25">
      <c r="A236" s="680">
        <v>82121500</v>
      </c>
      <c r="B236" s="681" t="s">
        <v>58</v>
      </c>
      <c r="C236" s="681" t="s">
        <v>162</v>
      </c>
      <c r="D236" s="681" t="s">
        <v>163</v>
      </c>
      <c r="E236" s="682" t="s">
        <v>164</v>
      </c>
      <c r="F236" s="682" t="s">
        <v>465</v>
      </c>
      <c r="G236" s="683">
        <v>1</v>
      </c>
      <c r="H236" s="683">
        <v>1</v>
      </c>
      <c r="I236" s="683">
        <v>11</v>
      </c>
      <c r="J236" s="683">
        <v>0</v>
      </c>
      <c r="K236" s="684" t="s">
        <v>154</v>
      </c>
      <c r="L236" s="682" t="s">
        <v>10</v>
      </c>
      <c r="M236" s="727">
        <v>106956</v>
      </c>
      <c r="N236" s="722">
        <v>2018011000290</v>
      </c>
      <c r="O236" s="686" t="s">
        <v>2</v>
      </c>
      <c r="P236" s="686" t="s">
        <v>78</v>
      </c>
      <c r="Q236" s="683" t="s">
        <v>66</v>
      </c>
      <c r="R236" s="687">
        <v>0</v>
      </c>
      <c r="S236" s="684" t="s">
        <v>67</v>
      </c>
      <c r="T236" s="684" t="s">
        <v>68</v>
      </c>
      <c r="U236" s="684" t="s">
        <v>121</v>
      </c>
      <c r="V236" s="688">
        <v>3422121</v>
      </c>
      <c r="W236" s="689" t="s">
        <v>122</v>
      </c>
    </row>
    <row r="237" spans="1:23" s="613" customFormat="1" ht="24.95" customHeight="1" x14ac:dyDescent="0.25">
      <c r="A237" s="680">
        <v>0</v>
      </c>
      <c r="B237" s="681" t="s">
        <v>58</v>
      </c>
      <c r="C237" s="681" t="s">
        <v>170</v>
      </c>
      <c r="D237" s="681" t="s">
        <v>171</v>
      </c>
      <c r="E237" s="682" t="s">
        <v>176</v>
      </c>
      <c r="F237" s="682" t="s">
        <v>466</v>
      </c>
      <c r="G237" s="683">
        <v>5</v>
      </c>
      <c r="H237" s="683">
        <v>5</v>
      </c>
      <c r="I237" s="683">
        <v>1</v>
      </c>
      <c r="J237" s="683">
        <v>0</v>
      </c>
      <c r="K237" s="684" t="s">
        <v>83</v>
      </c>
      <c r="L237" s="682" t="s">
        <v>10</v>
      </c>
      <c r="M237" s="727">
        <v>5000000</v>
      </c>
      <c r="N237" s="722">
        <v>2018011000290</v>
      </c>
      <c r="O237" s="686" t="s">
        <v>2</v>
      </c>
      <c r="P237" s="686" t="s">
        <v>78</v>
      </c>
      <c r="Q237" s="683" t="s">
        <v>66</v>
      </c>
      <c r="R237" s="687">
        <v>0</v>
      </c>
      <c r="S237" s="684" t="s">
        <v>67</v>
      </c>
      <c r="T237" s="684" t="s">
        <v>68</v>
      </c>
      <c r="U237" s="684" t="s">
        <v>121</v>
      </c>
      <c r="V237" s="688">
        <v>3422121</v>
      </c>
      <c r="W237" s="689" t="s">
        <v>175</v>
      </c>
    </row>
    <row r="238" spans="1:23" s="613" customFormat="1" ht="24.95" customHeight="1" x14ac:dyDescent="0.25">
      <c r="A238" s="680">
        <v>82121501</v>
      </c>
      <c r="B238" s="681" t="s">
        <v>58</v>
      </c>
      <c r="C238" s="681" t="s">
        <v>162</v>
      </c>
      <c r="D238" s="681" t="s">
        <v>163</v>
      </c>
      <c r="E238" s="682" t="s">
        <v>164</v>
      </c>
      <c r="F238" s="682" t="s">
        <v>467</v>
      </c>
      <c r="G238" s="683">
        <v>3</v>
      </c>
      <c r="H238" s="683">
        <v>3</v>
      </c>
      <c r="I238" s="683">
        <v>9</v>
      </c>
      <c r="J238" s="683">
        <v>0</v>
      </c>
      <c r="K238" s="684" t="s">
        <v>154</v>
      </c>
      <c r="L238" s="682" t="s">
        <v>10</v>
      </c>
      <c r="M238" s="727">
        <v>700000</v>
      </c>
      <c r="N238" s="722">
        <v>2018011000290</v>
      </c>
      <c r="O238" s="686" t="s">
        <v>2</v>
      </c>
      <c r="P238" s="686" t="s">
        <v>78</v>
      </c>
      <c r="Q238" s="683" t="s">
        <v>66</v>
      </c>
      <c r="R238" s="687">
        <v>0</v>
      </c>
      <c r="S238" s="684" t="s">
        <v>67</v>
      </c>
      <c r="T238" s="684" t="s">
        <v>68</v>
      </c>
      <c r="U238" s="684" t="s">
        <v>121</v>
      </c>
      <c r="V238" s="688">
        <v>3422121</v>
      </c>
      <c r="W238" s="689" t="s">
        <v>122</v>
      </c>
    </row>
    <row r="239" spans="1:23" s="613" customFormat="1" ht="24.95" customHeight="1" x14ac:dyDescent="0.25">
      <c r="A239" s="680">
        <v>82121500</v>
      </c>
      <c r="B239" s="681" t="s">
        <v>58</v>
      </c>
      <c r="C239" s="681" t="s">
        <v>162</v>
      </c>
      <c r="D239" s="681" t="s">
        <v>163</v>
      </c>
      <c r="E239" s="682" t="s">
        <v>164</v>
      </c>
      <c r="F239" s="682" t="s">
        <v>468</v>
      </c>
      <c r="G239" s="683">
        <v>3</v>
      </c>
      <c r="H239" s="683">
        <v>3</v>
      </c>
      <c r="I239" s="683">
        <v>9</v>
      </c>
      <c r="J239" s="683">
        <v>0</v>
      </c>
      <c r="K239" s="684" t="s">
        <v>154</v>
      </c>
      <c r="L239" s="682" t="s">
        <v>10</v>
      </c>
      <c r="M239" s="727">
        <v>800000</v>
      </c>
      <c r="N239" s="722">
        <v>2018011000290</v>
      </c>
      <c r="O239" s="686" t="s">
        <v>2</v>
      </c>
      <c r="P239" s="686" t="s">
        <v>78</v>
      </c>
      <c r="Q239" s="683" t="s">
        <v>66</v>
      </c>
      <c r="R239" s="687">
        <v>0</v>
      </c>
      <c r="S239" s="684" t="s">
        <v>67</v>
      </c>
      <c r="T239" s="684" t="s">
        <v>68</v>
      </c>
      <c r="U239" s="684" t="s">
        <v>121</v>
      </c>
      <c r="V239" s="688">
        <v>3422121</v>
      </c>
      <c r="W239" s="689" t="s">
        <v>122</v>
      </c>
    </row>
    <row r="240" spans="1:23" s="613" customFormat="1" ht="24.95" customHeight="1" x14ac:dyDescent="0.25">
      <c r="A240" s="680">
        <v>82121500</v>
      </c>
      <c r="B240" s="681" t="s">
        <v>58</v>
      </c>
      <c r="C240" s="681" t="s">
        <v>162</v>
      </c>
      <c r="D240" s="681" t="s">
        <v>163</v>
      </c>
      <c r="E240" s="682" t="s">
        <v>164</v>
      </c>
      <c r="F240" s="682" t="s">
        <v>469</v>
      </c>
      <c r="G240" s="683">
        <v>1</v>
      </c>
      <c r="H240" s="683">
        <v>1</v>
      </c>
      <c r="I240" s="683">
        <v>11</v>
      </c>
      <c r="J240" s="683">
        <v>0</v>
      </c>
      <c r="K240" s="684" t="s">
        <v>154</v>
      </c>
      <c r="L240" s="682" t="s">
        <v>10</v>
      </c>
      <c r="M240" s="727">
        <v>3700000</v>
      </c>
      <c r="N240" s="722">
        <v>2018011000290</v>
      </c>
      <c r="O240" s="686" t="s">
        <v>2</v>
      </c>
      <c r="P240" s="686" t="s">
        <v>78</v>
      </c>
      <c r="Q240" s="683" t="s">
        <v>66</v>
      </c>
      <c r="R240" s="687">
        <v>0</v>
      </c>
      <c r="S240" s="684" t="s">
        <v>67</v>
      </c>
      <c r="T240" s="684" t="s">
        <v>68</v>
      </c>
      <c r="U240" s="684" t="s">
        <v>121</v>
      </c>
      <c r="V240" s="688">
        <v>3422121</v>
      </c>
      <c r="W240" s="689" t="s">
        <v>122</v>
      </c>
    </row>
    <row r="241" spans="1:23" s="613" customFormat="1" ht="24.95" customHeight="1" x14ac:dyDescent="0.25">
      <c r="A241" s="680">
        <v>82121500</v>
      </c>
      <c r="B241" s="681" t="s">
        <v>58</v>
      </c>
      <c r="C241" s="681" t="s">
        <v>162</v>
      </c>
      <c r="D241" s="681" t="s">
        <v>163</v>
      </c>
      <c r="E241" s="682" t="s">
        <v>164</v>
      </c>
      <c r="F241" s="682" t="s">
        <v>470</v>
      </c>
      <c r="G241" s="683">
        <v>1</v>
      </c>
      <c r="H241" s="683">
        <v>1</v>
      </c>
      <c r="I241" s="683">
        <v>11</v>
      </c>
      <c r="J241" s="683">
        <v>0</v>
      </c>
      <c r="K241" s="684" t="s">
        <v>154</v>
      </c>
      <c r="L241" s="682" t="s">
        <v>10</v>
      </c>
      <c r="M241" s="727">
        <v>3000000</v>
      </c>
      <c r="N241" s="722">
        <v>2018011000290</v>
      </c>
      <c r="O241" s="686" t="s">
        <v>2</v>
      </c>
      <c r="P241" s="686" t="s">
        <v>78</v>
      </c>
      <c r="Q241" s="683" t="s">
        <v>66</v>
      </c>
      <c r="R241" s="687">
        <v>0</v>
      </c>
      <c r="S241" s="684" t="s">
        <v>67</v>
      </c>
      <c r="T241" s="684" t="s">
        <v>68</v>
      </c>
      <c r="U241" s="684" t="s">
        <v>121</v>
      </c>
      <c r="V241" s="688">
        <v>3422121</v>
      </c>
      <c r="W241" s="689" t="s">
        <v>122</v>
      </c>
    </row>
    <row r="242" spans="1:23" s="613" customFormat="1" ht="24.95" customHeight="1" x14ac:dyDescent="0.25">
      <c r="A242" s="680">
        <v>0</v>
      </c>
      <c r="B242" s="681" t="s">
        <v>471</v>
      </c>
      <c r="C242" s="681" t="s">
        <v>472</v>
      </c>
      <c r="D242" s="681" t="s">
        <v>473</v>
      </c>
      <c r="E242" s="682" t="s">
        <v>474</v>
      </c>
      <c r="F242" s="682" t="s">
        <v>475</v>
      </c>
      <c r="G242" s="683">
        <v>1</v>
      </c>
      <c r="H242" s="683">
        <v>1</v>
      </c>
      <c r="I242" s="683">
        <v>11</v>
      </c>
      <c r="J242" s="683">
        <v>0</v>
      </c>
      <c r="K242" s="684" t="s">
        <v>83</v>
      </c>
      <c r="L242" s="682" t="s">
        <v>3</v>
      </c>
      <c r="M242" s="727">
        <v>584539</v>
      </c>
      <c r="N242" s="722">
        <v>2018011000290</v>
      </c>
      <c r="O242" s="686" t="s">
        <v>2</v>
      </c>
      <c r="P242" s="686" t="s">
        <v>97</v>
      </c>
      <c r="Q242" s="683" t="s">
        <v>66</v>
      </c>
      <c r="R242" s="687">
        <v>0</v>
      </c>
      <c r="S242" s="684" t="s">
        <v>67</v>
      </c>
      <c r="T242" s="684" t="s">
        <v>68</v>
      </c>
      <c r="U242" s="684" t="s">
        <v>476</v>
      </c>
      <c r="V242" s="688">
        <v>3422121</v>
      </c>
      <c r="W242" s="689" t="s">
        <v>122</v>
      </c>
    </row>
    <row r="243" spans="1:23" s="613" customFormat="1" ht="24.95" customHeight="1" x14ac:dyDescent="0.25">
      <c r="A243" s="680">
        <v>80131505</v>
      </c>
      <c r="B243" s="681" t="s">
        <v>58</v>
      </c>
      <c r="C243" s="681" t="s">
        <v>170</v>
      </c>
      <c r="D243" s="681" t="s">
        <v>171</v>
      </c>
      <c r="E243" s="682" t="s">
        <v>172</v>
      </c>
      <c r="F243" s="682" t="s">
        <v>478</v>
      </c>
      <c r="G243" s="683">
        <v>2</v>
      </c>
      <c r="H243" s="683">
        <v>2</v>
      </c>
      <c r="I243" s="683">
        <v>10</v>
      </c>
      <c r="J243" s="683">
        <v>0</v>
      </c>
      <c r="K243" s="684" t="s">
        <v>83</v>
      </c>
      <c r="L243" s="682" t="s">
        <v>10</v>
      </c>
      <c r="M243" s="727">
        <v>1500000</v>
      </c>
      <c r="N243" s="722">
        <v>2018011000290</v>
      </c>
      <c r="O243" s="686" t="s">
        <v>2</v>
      </c>
      <c r="P243" s="686" t="s">
        <v>78</v>
      </c>
      <c r="Q243" s="683" t="s">
        <v>66</v>
      </c>
      <c r="R243" s="687">
        <v>0</v>
      </c>
      <c r="S243" s="684" t="s">
        <v>67</v>
      </c>
      <c r="T243" s="684" t="s">
        <v>68</v>
      </c>
      <c r="U243" s="684" t="s">
        <v>121</v>
      </c>
      <c r="V243" s="688">
        <v>3422121</v>
      </c>
      <c r="W243" s="689" t="s">
        <v>175</v>
      </c>
    </row>
    <row r="244" spans="1:23" s="613" customFormat="1" ht="24.95" customHeight="1" x14ac:dyDescent="0.25">
      <c r="A244" s="680">
        <v>0</v>
      </c>
      <c r="B244" s="681" t="s">
        <v>58</v>
      </c>
      <c r="C244" s="681" t="s">
        <v>198</v>
      </c>
      <c r="D244" s="681" t="s">
        <v>60</v>
      </c>
      <c r="E244" s="682" t="s">
        <v>198</v>
      </c>
      <c r="F244" s="682" t="s">
        <v>479</v>
      </c>
      <c r="G244" s="683">
        <v>2</v>
      </c>
      <c r="H244" s="683">
        <v>2</v>
      </c>
      <c r="I244" s="683">
        <v>1</v>
      </c>
      <c r="J244" s="683">
        <v>0</v>
      </c>
      <c r="K244" s="684" t="s">
        <v>83</v>
      </c>
      <c r="L244" s="682" t="s">
        <v>10</v>
      </c>
      <c r="M244" s="727">
        <v>22000000</v>
      </c>
      <c r="N244" s="722">
        <v>2018011000290</v>
      </c>
      <c r="O244" s="686" t="s">
        <v>2</v>
      </c>
      <c r="P244" s="686" t="s">
        <v>78</v>
      </c>
      <c r="Q244" s="683" t="s">
        <v>66</v>
      </c>
      <c r="R244" s="687">
        <v>0</v>
      </c>
      <c r="S244" s="684" t="s">
        <v>67</v>
      </c>
      <c r="T244" s="684" t="s">
        <v>68</v>
      </c>
      <c r="U244" s="684" t="s">
        <v>121</v>
      </c>
      <c r="V244" s="688">
        <v>3422121</v>
      </c>
      <c r="W244" s="689" t="s">
        <v>122</v>
      </c>
    </row>
    <row r="245" spans="1:23" s="613" customFormat="1" ht="24.95" customHeight="1" x14ac:dyDescent="0.25">
      <c r="A245" s="680">
        <v>0</v>
      </c>
      <c r="B245" s="681" t="s">
        <v>58</v>
      </c>
      <c r="C245" s="681" t="s">
        <v>198</v>
      </c>
      <c r="D245" s="681" t="s">
        <v>60</v>
      </c>
      <c r="E245" s="682" t="s">
        <v>198</v>
      </c>
      <c r="F245" s="682" t="s">
        <v>480</v>
      </c>
      <c r="G245" s="683">
        <v>2</v>
      </c>
      <c r="H245" s="683">
        <v>2</v>
      </c>
      <c r="I245" s="683">
        <v>1</v>
      </c>
      <c r="J245" s="683">
        <v>0</v>
      </c>
      <c r="K245" s="684" t="s">
        <v>83</v>
      </c>
      <c r="L245" s="682" t="s">
        <v>10</v>
      </c>
      <c r="M245" s="727">
        <v>4000000</v>
      </c>
      <c r="N245" s="722">
        <v>2018011000290</v>
      </c>
      <c r="O245" s="686" t="s">
        <v>2</v>
      </c>
      <c r="P245" s="686" t="s">
        <v>78</v>
      </c>
      <c r="Q245" s="683" t="s">
        <v>66</v>
      </c>
      <c r="R245" s="687">
        <v>0</v>
      </c>
      <c r="S245" s="684" t="s">
        <v>67</v>
      </c>
      <c r="T245" s="684" t="s">
        <v>68</v>
      </c>
      <c r="U245" s="684" t="s">
        <v>121</v>
      </c>
      <c r="V245" s="688">
        <v>3422121</v>
      </c>
      <c r="W245" s="689" t="s">
        <v>122</v>
      </c>
    </row>
    <row r="246" spans="1:23" s="613" customFormat="1" ht="24.95" customHeight="1" x14ac:dyDescent="0.25">
      <c r="A246" s="680"/>
      <c r="B246" s="681" t="s">
        <v>270</v>
      </c>
      <c r="C246" s="681" t="s">
        <v>270</v>
      </c>
      <c r="D246" s="681" t="s">
        <v>203</v>
      </c>
      <c r="E246" s="682"/>
      <c r="F246" s="682" t="s">
        <v>481</v>
      </c>
      <c r="G246" s="683">
        <v>1</v>
      </c>
      <c r="H246" s="683">
        <v>1</v>
      </c>
      <c r="I246" s="683">
        <v>10</v>
      </c>
      <c r="J246" s="683">
        <v>0</v>
      </c>
      <c r="K246" s="684" t="s">
        <v>83</v>
      </c>
      <c r="L246" s="682" t="s">
        <v>3</v>
      </c>
      <c r="M246" s="727">
        <v>7387215</v>
      </c>
      <c r="N246" s="722">
        <v>2018011000290</v>
      </c>
      <c r="O246" s="686" t="s">
        <v>2</v>
      </c>
      <c r="P246" s="686" t="s">
        <v>120</v>
      </c>
      <c r="Q246" s="683"/>
      <c r="R246" s="687"/>
      <c r="S246" s="684"/>
      <c r="T246" s="684"/>
      <c r="U246" s="684" t="s">
        <v>121</v>
      </c>
      <c r="V246" s="688"/>
      <c r="W246" s="689"/>
    </row>
    <row r="247" spans="1:23" s="613" customFormat="1" ht="24.95" customHeight="1" x14ac:dyDescent="0.25">
      <c r="A247" s="680"/>
      <c r="B247" s="681" t="s">
        <v>270</v>
      </c>
      <c r="C247" s="681" t="s">
        <v>270</v>
      </c>
      <c r="D247" s="681" t="s">
        <v>203</v>
      </c>
      <c r="E247" s="682"/>
      <c r="F247" s="682" t="s">
        <v>481</v>
      </c>
      <c r="G247" s="683">
        <v>1</v>
      </c>
      <c r="H247" s="683">
        <v>1</v>
      </c>
      <c r="I247" s="683">
        <v>10</v>
      </c>
      <c r="J247" s="683">
        <v>0</v>
      </c>
      <c r="K247" s="684" t="s">
        <v>83</v>
      </c>
      <c r="L247" s="682" t="s">
        <v>3</v>
      </c>
      <c r="M247" s="727">
        <v>16612785</v>
      </c>
      <c r="N247" s="722">
        <v>2018011000290</v>
      </c>
      <c r="O247" s="686" t="s">
        <v>2</v>
      </c>
      <c r="P247" s="686" t="s">
        <v>78</v>
      </c>
      <c r="Q247" s="683"/>
      <c r="R247" s="687"/>
      <c r="S247" s="684"/>
      <c r="T247" s="684"/>
      <c r="U247" s="684" t="s">
        <v>121</v>
      </c>
      <c r="V247" s="688"/>
      <c r="W247" s="689"/>
    </row>
    <row r="248" spans="1:23" s="613" customFormat="1" ht="24.95" customHeight="1" x14ac:dyDescent="0.25">
      <c r="A248" s="680"/>
      <c r="B248" s="681" t="s">
        <v>270</v>
      </c>
      <c r="C248" s="681" t="s">
        <v>270</v>
      </c>
      <c r="D248" s="681" t="s">
        <v>203</v>
      </c>
      <c r="E248" s="682"/>
      <c r="F248" s="682" t="s">
        <v>482</v>
      </c>
      <c r="G248" s="683">
        <v>1</v>
      </c>
      <c r="H248" s="683">
        <v>1</v>
      </c>
      <c r="I248" s="683">
        <v>10</v>
      </c>
      <c r="J248" s="683">
        <v>0</v>
      </c>
      <c r="K248" s="684" t="s">
        <v>83</v>
      </c>
      <c r="L248" s="682" t="s">
        <v>3</v>
      </c>
      <c r="M248" s="727">
        <v>8887215</v>
      </c>
      <c r="N248" s="722">
        <v>2018011000290</v>
      </c>
      <c r="O248" s="686" t="s">
        <v>2</v>
      </c>
      <c r="P248" s="686" t="s">
        <v>166</v>
      </c>
      <c r="Q248" s="683"/>
      <c r="R248" s="687"/>
      <c r="S248" s="684"/>
      <c r="T248" s="684"/>
      <c r="U248" s="684" t="s">
        <v>121</v>
      </c>
      <c r="V248" s="688"/>
      <c r="W248" s="689"/>
    </row>
    <row r="249" spans="1:23" x14ac:dyDescent="0.25">
      <c r="A249" s="678"/>
      <c r="B249" s="673"/>
      <c r="C249" s="673"/>
      <c r="D249" s="673"/>
      <c r="E249" s="673"/>
      <c r="F249" s="673"/>
      <c r="G249" s="674"/>
      <c r="H249" s="674"/>
      <c r="I249" s="675"/>
      <c r="J249" s="675"/>
      <c r="K249" s="702"/>
      <c r="L249" s="702"/>
      <c r="M249" s="726"/>
      <c r="N249" s="703"/>
      <c r="O249" s="677"/>
      <c r="P249" s="677"/>
      <c r="Q249" s="675"/>
      <c r="R249" s="702"/>
      <c r="S249" s="702"/>
      <c r="T249" s="702"/>
      <c r="U249" s="702"/>
      <c r="V249" s="678"/>
      <c r="W249" s="702"/>
    </row>
    <row r="250" spans="1:23" x14ac:dyDescent="0.25">
      <c r="A250" s="678"/>
      <c r="B250" s="673"/>
      <c r="C250" s="673"/>
      <c r="D250" s="673"/>
      <c r="E250" s="673"/>
      <c r="F250" s="673"/>
      <c r="G250" s="674"/>
      <c r="H250" s="674"/>
      <c r="I250" s="675"/>
      <c r="J250" s="675"/>
      <c r="K250" s="702"/>
      <c r="L250" s="702"/>
      <c r="M250" s="726"/>
      <c r="N250" s="703"/>
      <c r="O250" s="677"/>
      <c r="P250" s="677"/>
      <c r="Q250" s="675"/>
      <c r="R250" s="702"/>
      <c r="S250" s="702"/>
      <c r="T250" s="702"/>
      <c r="U250" s="702"/>
      <c r="V250" s="678"/>
      <c r="W250" s="702"/>
    </row>
    <row r="251" spans="1:23" x14ac:dyDescent="0.25">
      <c r="A251" s="678"/>
      <c r="B251" s="673"/>
      <c r="C251" s="673"/>
      <c r="D251" s="673"/>
      <c r="E251" s="673"/>
      <c r="F251" s="673"/>
      <c r="G251" s="674"/>
      <c r="H251" s="674"/>
      <c r="I251" s="675"/>
      <c r="J251" s="675"/>
      <c r="K251" s="702"/>
      <c r="L251" s="702"/>
      <c r="M251" s="726"/>
      <c r="N251" s="703"/>
      <c r="O251" s="677"/>
      <c r="P251" s="677"/>
      <c r="Q251" s="675"/>
      <c r="R251" s="702"/>
      <c r="S251" s="702"/>
      <c r="T251" s="702"/>
      <c r="U251" s="702"/>
      <c r="V251" s="678"/>
      <c r="W251" s="702"/>
    </row>
    <row r="252" spans="1:23" x14ac:dyDescent="0.25">
      <c r="A252" s="678"/>
      <c r="B252" s="673"/>
      <c r="C252" s="673"/>
      <c r="D252" s="673"/>
      <c r="E252" s="673"/>
      <c r="F252" s="673"/>
      <c r="G252" s="674"/>
      <c r="H252" s="674"/>
      <c r="I252" s="675"/>
      <c r="J252" s="675"/>
      <c r="K252" s="702"/>
      <c r="L252" s="702"/>
      <c r="M252" s="726"/>
      <c r="N252" s="703"/>
      <c r="O252" s="677"/>
      <c r="P252" s="677"/>
      <c r="Q252" s="675"/>
      <c r="R252" s="702"/>
      <c r="S252" s="702"/>
      <c r="T252" s="702"/>
      <c r="U252" s="702"/>
      <c r="V252" s="678"/>
      <c r="W252" s="702"/>
    </row>
    <row r="253" spans="1:23" x14ac:dyDescent="0.25">
      <c r="A253" s="678"/>
      <c r="B253" s="673"/>
      <c r="C253" s="673"/>
      <c r="D253" s="673"/>
      <c r="E253" s="673"/>
      <c r="F253" s="673"/>
      <c r="G253" s="674"/>
      <c r="H253" s="674"/>
      <c r="I253" s="675"/>
      <c r="J253" s="675"/>
      <c r="K253" s="702"/>
      <c r="L253" s="702"/>
      <c r="M253" s="726"/>
      <c r="N253" s="703"/>
      <c r="O253" s="677"/>
      <c r="P253" s="677"/>
      <c r="Q253" s="675"/>
      <c r="R253" s="702"/>
      <c r="S253" s="702"/>
      <c r="T253" s="702"/>
      <c r="U253" s="702"/>
      <c r="V253" s="678"/>
      <c r="W253" s="702"/>
    </row>
    <row r="254" spans="1:23" x14ac:dyDescent="0.25">
      <c r="A254" s="678"/>
      <c r="B254" s="673"/>
      <c r="C254" s="673"/>
      <c r="D254" s="673"/>
      <c r="E254" s="673"/>
      <c r="F254" s="673"/>
      <c r="G254" s="674"/>
      <c r="H254" s="674"/>
      <c r="I254" s="675"/>
      <c r="J254" s="675"/>
      <c r="K254" s="702"/>
      <c r="L254" s="702"/>
      <c r="M254" s="726"/>
      <c r="N254" s="703"/>
      <c r="O254" s="677"/>
      <c r="P254" s="677"/>
      <c r="Q254" s="675"/>
      <c r="R254" s="702"/>
      <c r="S254" s="702"/>
      <c r="T254" s="702"/>
      <c r="U254" s="702"/>
      <c r="V254" s="678"/>
      <c r="W254" s="702"/>
    </row>
    <row r="255" spans="1:23" x14ac:dyDescent="0.25">
      <c r="A255" s="678"/>
      <c r="B255" s="673"/>
      <c r="C255" s="673"/>
      <c r="D255" s="673"/>
      <c r="E255" s="673"/>
      <c r="F255" s="673"/>
      <c r="G255" s="674"/>
      <c r="H255" s="674"/>
      <c r="I255" s="675"/>
      <c r="J255" s="675"/>
      <c r="K255" s="702"/>
      <c r="L255" s="702"/>
      <c r="M255" s="726"/>
      <c r="N255" s="703"/>
      <c r="O255" s="677"/>
      <c r="P255" s="677"/>
      <c r="Q255" s="675"/>
      <c r="R255" s="702"/>
      <c r="S255" s="702"/>
      <c r="T255" s="702"/>
      <c r="U255" s="702"/>
      <c r="V255" s="678"/>
      <c r="W255" s="702"/>
    </row>
    <row r="256" spans="1:23" x14ac:dyDescent="0.25">
      <c r="A256" s="678"/>
      <c r="B256" s="673"/>
      <c r="C256" s="673"/>
      <c r="D256" s="673"/>
      <c r="E256" s="673"/>
      <c r="F256" s="673"/>
      <c r="G256" s="674"/>
      <c r="H256" s="674"/>
      <c r="I256" s="675"/>
      <c r="J256" s="675"/>
      <c r="K256" s="702"/>
      <c r="L256" s="702"/>
      <c r="M256" s="726"/>
      <c r="N256" s="703"/>
      <c r="O256" s="677"/>
      <c r="P256" s="677"/>
      <c r="Q256" s="675"/>
      <c r="R256" s="702"/>
      <c r="S256" s="702"/>
      <c r="T256" s="702"/>
      <c r="U256" s="702"/>
      <c r="V256" s="678"/>
      <c r="W256" s="702"/>
    </row>
    <row r="257" spans="1:23" x14ac:dyDescent="0.25">
      <c r="A257" s="678"/>
      <c r="B257" s="673"/>
      <c r="C257" s="673"/>
      <c r="D257" s="673"/>
      <c r="E257" s="673"/>
      <c r="F257" s="673"/>
      <c r="G257" s="674"/>
      <c r="H257" s="674"/>
      <c r="I257" s="675"/>
      <c r="J257" s="675"/>
      <c r="K257" s="702"/>
      <c r="L257" s="702"/>
      <c r="M257" s="726"/>
      <c r="N257" s="703"/>
      <c r="O257" s="677"/>
      <c r="P257" s="677"/>
      <c r="Q257" s="675"/>
      <c r="R257" s="702"/>
      <c r="S257" s="702"/>
      <c r="T257" s="702"/>
      <c r="U257" s="702"/>
      <c r="V257" s="678"/>
      <c r="W257" s="702"/>
    </row>
    <row r="258" spans="1:23" x14ac:dyDescent="0.25">
      <c r="A258" s="678"/>
      <c r="B258" s="673"/>
      <c r="C258" s="673"/>
      <c r="D258" s="673"/>
      <c r="E258" s="673"/>
      <c r="F258" s="673"/>
      <c r="G258" s="674"/>
      <c r="H258" s="674"/>
      <c r="I258" s="675"/>
      <c r="J258" s="675"/>
      <c r="K258" s="702"/>
      <c r="L258" s="702"/>
      <c r="M258" s="726"/>
      <c r="N258" s="703"/>
      <c r="O258" s="677"/>
      <c r="P258" s="677"/>
      <c r="Q258" s="675"/>
      <c r="R258" s="702"/>
      <c r="S258" s="702"/>
      <c r="T258" s="702"/>
      <c r="U258" s="702"/>
      <c r="V258" s="678"/>
      <c r="W258" s="702"/>
    </row>
    <row r="259" spans="1:23" x14ac:dyDescent="0.25">
      <c r="A259" s="678"/>
      <c r="B259" s="673"/>
      <c r="C259" s="673"/>
      <c r="D259" s="673"/>
      <c r="E259" s="673"/>
      <c r="F259" s="673"/>
      <c r="G259" s="674"/>
      <c r="H259" s="674"/>
      <c r="I259" s="675"/>
      <c r="J259" s="675"/>
      <c r="K259" s="702"/>
      <c r="L259" s="702"/>
      <c r="M259" s="726"/>
      <c r="N259" s="703"/>
      <c r="O259" s="677"/>
      <c r="P259" s="677"/>
      <c r="Q259" s="675"/>
      <c r="R259" s="702"/>
      <c r="S259" s="702"/>
      <c r="T259" s="702"/>
      <c r="U259" s="702"/>
      <c r="V259" s="678"/>
      <c r="W259" s="702"/>
    </row>
    <row r="260" spans="1:23" x14ac:dyDescent="0.25">
      <c r="A260" s="678"/>
      <c r="B260" s="673"/>
      <c r="C260" s="673"/>
      <c r="D260" s="673"/>
      <c r="E260" s="673"/>
      <c r="F260" s="673"/>
      <c r="G260" s="674"/>
      <c r="H260" s="674"/>
      <c r="I260" s="675"/>
      <c r="J260" s="675"/>
      <c r="K260" s="702"/>
      <c r="L260" s="702"/>
      <c r="M260" s="726"/>
      <c r="N260" s="703"/>
      <c r="O260" s="677"/>
      <c r="P260" s="677"/>
      <c r="Q260" s="675"/>
      <c r="R260" s="702"/>
      <c r="S260" s="702"/>
      <c r="T260" s="702"/>
      <c r="U260" s="702"/>
      <c r="V260" s="678"/>
      <c r="W260" s="702"/>
    </row>
    <row r="261" spans="1:23" x14ac:dyDescent="0.25">
      <c r="A261" s="678"/>
      <c r="B261" s="673"/>
      <c r="C261" s="673"/>
      <c r="D261" s="673"/>
      <c r="E261" s="673"/>
      <c r="F261" s="673"/>
      <c r="G261" s="674"/>
      <c r="H261" s="674"/>
      <c r="I261" s="675"/>
      <c r="J261" s="675"/>
      <c r="K261" s="702"/>
      <c r="L261" s="702"/>
      <c r="M261" s="726"/>
      <c r="N261" s="703"/>
      <c r="O261" s="677"/>
      <c r="P261" s="677"/>
      <c r="Q261" s="675"/>
      <c r="R261" s="702"/>
      <c r="S261" s="702"/>
      <c r="T261" s="702"/>
      <c r="U261" s="702"/>
      <c r="V261" s="678"/>
      <c r="W261" s="702"/>
    </row>
    <row r="262" spans="1:23" x14ac:dyDescent="0.25">
      <c r="A262" s="678"/>
      <c r="B262" s="673"/>
      <c r="C262" s="673"/>
      <c r="D262" s="673"/>
      <c r="E262" s="673"/>
      <c r="F262" s="673"/>
      <c r="G262" s="674"/>
      <c r="H262" s="674"/>
      <c r="I262" s="675"/>
      <c r="J262" s="675"/>
      <c r="K262" s="702"/>
      <c r="L262" s="702"/>
      <c r="M262" s="726"/>
      <c r="N262" s="703"/>
      <c r="O262" s="677"/>
      <c r="P262" s="677"/>
      <c r="Q262" s="675"/>
      <c r="R262" s="702"/>
      <c r="S262" s="702"/>
      <c r="T262" s="702"/>
      <c r="U262" s="702"/>
      <c r="V262" s="678"/>
      <c r="W262" s="702"/>
    </row>
    <row r="263" spans="1:23" x14ac:dyDescent="0.25">
      <c r="A263" s="678"/>
      <c r="B263" s="673"/>
      <c r="C263" s="673"/>
      <c r="D263" s="673"/>
      <c r="E263" s="673"/>
      <c r="F263" s="673"/>
      <c r="G263" s="674"/>
      <c r="H263" s="674"/>
      <c r="I263" s="675"/>
      <c r="J263" s="675"/>
      <c r="K263" s="702"/>
      <c r="L263" s="702"/>
      <c r="M263" s="726"/>
      <c r="N263" s="703"/>
      <c r="O263" s="677"/>
      <c r="P263" s="677"/>
      <c r="Q263" s="675"/>
      <c r="R263" s="702"/>
      <c r="S263" s="702"/>
      <c r="T263" s="702"/>
      <c r="U263" s="702"/>
      <c r="V263" s="678"/>
      <c r="W263" s="702"/>
    </row>
    <row r="264" spans="1:23" x14ac:dyDescent="0.25">
      <c r="A264" s="678"/>
      <c r="B264" s="673"/>
      <c r="C264" s="673"/>
      <c r="D264" s="673"/>
      <c r="E264" s="673"/>
      <c r="F264" s="673"/>
      <c r="G264" s="674"/>
      <c r="H264" s="674"/>
      <c r="I264" s="675"/>
      <c r="J264" s="675"/>
      <c r="K264" s="702"/>
      <c r="L264" s="702"/>
      <c r="M264" s="726"/>
      <c r="N264" s="703"/>
      <c r="O264" s="677"/>
      <c r="P264" s="677"/>
      <c r="Q264" s="675"/>
      <c r="R264" s="702"/>
      <c r="S264" s="702"/>
      <c r="T264" s="702"/>
      <c r="U264" s="702"/>
      <c r="V264" s="678"/>
      <c r="W264" s="702"/>
    </row>
    <row r="265" spans="1:23" x14ac:dyDescent="0.25">
      <c r="A265" s="678"/>
      <c r="B265" s="673"/>
      <c r="C265" s="673"/>
      <c r="D265" s="673"/>
      <c r="E265" s="673"/>
      <c r="F265" s="673"/>
      <c r="G265" s="674"/>
      <c r="H265" s="674"/>
      <c r="I265" s="675"/>
      <c r="J265" s="675"/>
      <c r="K265" s="702"/>
      <c r="L265" s="702"/>
      <c r="M265" s="726"/>
      <c r="N265" s="703"/>
      <c r="O265" s="677"/>
      <c r="P265" s="677"/>
      <c r="Q265" s="675"/>
      <c r="R265" s="702"/>
      <c r="S265" s="702"/>
      <c r="T265" s="702"/>
      <c r="U265" s="702"/>
      <c r="V265" s="678"/>
      <c r="W265" s="702"/>
    </row>
    <row r="266" spans="1:23" x14ac:dyDescent="0.25">
      <c r="A266" s="678"/>
      <c r="B266" s="673"/>
      <c r="C266" s="673"/>
      <c r="D266" s="673"/>
      <c r="E266" s="673"/>
      <c r="F266" s="673"/>
      <c r="G266" s="674"/>
      <c r="H266" s="674"/>
      <c r="I266" s="675"/>
      <c r="J266" s="675"/>
      <c r="K266" s="702"/>
      <c r="L266" s="702"/>
      <c r="M266" s="726"/>
      <c r="N266" s="703"/>
      <c r="O266" s="677"/>
      <c r="P266" s="677"/>
      <c r="Q266" s="675"/>
      <c r="R266" s="702"/>
      <c r="S266" s="702"/>
      <c r="T266" s="702"/>
      <c r="U266" s="702"/>
      <c r="V266" s="678"/>
      <c r="W266" s="702"/>
    </row>
    <row r="267" spans="1:23" x14ac:dyDescent="0.25">
      <c r="A267" s="678"/>
      <c r="B267" s="673"/>
      <c r="C267" s="673"/>
      <c r="D267" s="673"/>
      <c r="E267" s="673"/>
      <c r="F267" s="673"/>
      <c r="G267" s="674"/>
      <c r="H267" s="674"/>
      <c r="I267" s="675"/>
      <c r="J267" s="675"/>
      <c r="K267" s="702"/>
      <c r="L267" s="702"/>
      <c r="M267" s="726"/>
      <c r="N267" s="703"/>
      <c r="O267" s="677"/>
      <c r="P267" s="677"/>
      <c r="Q267" s="675"/>
      <c r="R267" s="702"/>
      <c r="S267" s="702"/>
      <c r="T267" s="702"/>
      <c r="U267" s="702"/>
      <c r="V267" s="678"/>
      <c r="W267" s="702"/>
    </row>
    <row r="268" spans="1:23" x14ac:dyDescent="0.25">
      <c r="A268" s="678"/>
      <c r="B268" s="673"/>
      <c r="C268" s="673"/>
      <c r="D268" s="673"/>
      <c r="E268" s="673"/>
      <c r="F268" s="673"/>
      <c r="G268" s="674"/>
      <c r="H268" s="674"/>
      <c r="I268" s="675"/>
      <c r="J268" s="675"/>
      <c r="K268" s="702"/>
      <c r="L268" s="702"/>
      <c r="M268" s="726"/>
      <c r="N268" s="703"/>
      <c r="O268" s="677"/>
      <c r="P268" s="677"/>
      <c r="Q268" s="675"/>
      <c r="R268" s="702"/>
      <c r="S268" s="702"/>
      <c r="T268" s="702"/>
      <c r="U268" s="702"/>
      <c r="V268" s="678"/>
      <c r="W268" s="702"/>
    </row>
    <row r="269" spans="1:23" x14ac:dyDescent="0.25">
      <c r="A269" s="678"/>
      <c r="B269" s="673"/>
      <c r="C269" s="673"/>
      <c r="D269" s="673"/>
      <c r="E269" s="673"/>
      <c r="F269" s="673"/>
      <c r="G269" s="674"/>
      <c r="H269" s="674"/>
      <c r="I269" s="675"/>
      <c r="J269" s="675"/>
      <c r="K269" s="702"/>
      <c r="L269" s="702"/>
      <c r="M269" s="726"/>
      <c r="N269" s="703"/>
      <c r="O269" s="677"/>
      <c r="P269" s="677"/>
      <c r="Q269" s="675"/>
      <c r="R269" s="702"/>
      <c r="S269" s="702"/>
      <c r="T269" s="702"/>
      <c r="U269" s="702"/>
      <c r="V269" s="678"/>
      <c r="W269" s="702"/>
    </row>
    <row r="270" spans="1:23" x14ac:dyDescent="0.25">
      <c r="A270" s="678"/>
      <c r="B270" s="673"/>
      <c r="C270" s="673"/>
      <c r="D270" s="673"/>
      <c r="E270" s="673"/>
      <c r="F270" s="673"/>
      <c r="G270" s="674"/>
      <c r="H270" s="674"/>
      <c r="I270" s="675"/>
      <c r="J270" s="675"/>
      <c r="K270" s="702"/>
      <c r="L270" s="702"/>
      <c r="M270" s="726"/>
      <c r="N270" s="703"/>
      <c r="O270" s="677"/>
      <c r="P270" s="677"/>
      <c r="Q270" s="675"/>
      <c r="R270" s="702"/>
      <c r="S270" s="702"/>
      <c r="T270" s="702"/>
      <c r="U270" s="702"/>
      <c r="V270" s="678"/>
      <c r="W270" s="702"/>
    </row>
    <row r="271" spans="1:23" x14ac:dyDescent="0.25">
      <c r="A271" s="678"/>
      <c r="B271" s="673"/>
      <c r="C271" s="673"/>
      <c r="D271" s="673"/>
      <c r="E271" s="673"/>
      <c r="F271" s="673"/>
      <c r="G271" s="674"/>
      <c r="H271" s="674"/>
      <c r="I271" s="675"/>
      <c r="J271" s="675"/>
      <c r="K271" s="702"/>
      <c r="L271" s="702"/>
      <c r="M271" s="726"/>
      <c r="N271" s="703"/>
      <c r="O271" s="677"/>
      <c r="P271" s="677"/>
      <c r="Q271" s="675"/>
      <c r="R271" s="702"/>
      <c r="S271" s="702"/>
      <c r="T271" s="702"/>
      <c r="U271" s="702"/>
      <c r="V271" s="678"/>
      <c r="W271" s="702"/>
    </row>
    <row r="272" spans="1:23" x14ac:dyDescent="0.25">
      <c r="A272" s="678"/>
      <c r="B272" s="673"/>
      <c r="C272" s="673"/>
      <c r="D272" s="673"/>
      <c r="E272" s="673"/>
      <c r="F272" s="673"/>
      <c r="G272" s="674"/>
      <c r="H272" s="674"/>
      <c r="I272" s="675"/>
      <c r="J272" s="675"/>
      <c r="K272" s="702"/>
      <c r="L272" s="702"/>
      <c r="M272" s="726"/>
      <c r="N272" s="703"/>
      <c r="O272" s="677"/>
      <c r="P272" s="677"/>
      <c r="Q272" s="675"/>
      <c r="R272" s="702"/>
      <c r="S272" s="702"/>
      <c r="T272" s="702"/>
      <c r="U272" s="702"/>
      <c r="V272" s="678"/>
      <c r="W272" s="702"/>
    </row>
    <row r="273" spans="1:23" x14ac:dyDescent="0.25">
      <c r="A273" s="678"/>
      <c r="B273" s="673"/>
      <c r="C273" s="673"/>
      <c r="D273" s="673"/>
      <c r="E273" s="673"/>
      <c r="F273" s="673"/>
      <c r="G273" s="674"/>
      <c r="H273" s="674"/>
      <c r="I273" s="675"/>
      <c r="J273" s="675"/>
      <c r="K273" s="702"/>
      <c r="L273" s="702"/>
      <c r="M273" s="726"/>
      <c r="N273" s="703"/>
      <c r="O273" s="677"/>
      <c r="P273" s="677"/>
      <c r="Q273" s="675"/>
      <c r="R273" s="702"/>
      <c r="S273" s="702"/>
      <c r="T273" s="702"/>
      <c r="U273" s="702"/>
      <c r="V273" s="678"/>
      <c r="W273" s="702"/>
    </row>
  </sheetData>
  <sheetProtection autoFilter="0"/>
  <protectedRanges>
    <protectedRange algorithmName="SHA-512" hashValue="oFINLGZOZidXT1fOQzciOsHSBh3qanPki+a/Z6tnf57dRzxyvDVLLcF1aGJScUn7ERhPedE4BMYGjxOP7gpUYQ==" saltValue="6xtauyVyZlp326QPTvVCYw==" spinCount="100000" sqref="U246:U248 Q2:W245 A2:P248" name="Planeación Control General"/>
  </protectedRanges>
  <autoFilter ref="A2:W248" xr:uid="{0C88EE5A-5FDF-4662-9C3C-226F66288A5C}"/>
  <dataConsolidate/>
  <phoneticPr fontId="12" type="noConversion"/>
  <dataValidations count="10">
    <dataValidation type="list" allowBlank="1" showInputMessage="1" showErrorMessage="1" sqref="I209:I221 I165 I67:I68 I181:I195 I169:I177 I204:I205 I197:I202" xr:uid="{39EF7156-7AAD-4641-8296-B51214F8BA1D}">
      <formula1>INDIRECT(G67)</formula1>
    </dataValidation>
    <dataValidation type="list" allowBlank="1" showInputMessage="1" showErrorMessage="1" sqref="J101:J102 J193:J195 J229 J210:J220 J204:J205 J197:J202 J67:J68 J185:J191" xr:uid="{D9CF36CA-AF11-452D-92BE-21E9A199459F}">
      <formula1>(DÍAS)</formula1>
    </dataValidation>
    <dataValidation type="list" allowBlank="1" showInputMessage="1" showErrorMessage="1" sqref="B223:C223 B230:C232 B233 B228:C228 B162:C176 B224:B229 B235:B248 B177:B222 B3:B102" xr:uid="{C820D444-B3A7-4A77-9562-6F9000BD819C}">
      <formula1>SUBDIRECCIÓN</formula1>
    </dataValidation>
    <dataValidation type="list" allowBlank="1" showInputMessage="1" showErrorMessage="1" sqref="D147 D235:D237 D240:D241 D228:D233 D243:D248 D162:D225 D3:D39 D56:D102" xr:uid="{779466AF-FE74-4D99-8FC2-B1D332DAFB07}">
      <formula1>PROCESOS</formula1>
    </dataValidation>
    <dataValidation type="list" allowBlank="1" showInputMessage="1" showErrorMessage="1" sqref="S224:S229 S233:S245 S3:S9 S23:S160 S177:S222" xr:uid="{C6C1AFA3-95B7-49B7-BA40-D9EB873764AB}">
      <formula1>VF</formula1>
    </dataValidation>
    <dataValidation type="list" allowBlank="1" showInputMessage="1" showErrorMessage="1" sqref="T3:T82 T84:T160 T162:T245" xr:uid="{64F473F9-0BE7-47B2-A095-D9BCFD67E85A}">
      <formula1>GC</formula1>
    </dataValidation>
    <dataValidation type="list" allowBlank="1" showInputMessage="1" showErrorMessage="1" sqref="K158 K228:K233 K235:K248 K3:K22 K162:K225 K24:K102" xr:uid="{1ED2B443-C31B-465B-A5A1-342783AFACF3}">
      <formula1>MODALIDAD_DE_CONTRATACIÓN</formula1>
    </dataValidation>
    <dataValidation type="list" allowBlank="1" showInputMessage="1" showErrorMessage="1" sqref="L3:L22 L228:L248 L162:L225 L24:L158" xr:uid="{349792E6-4F1B-4BA3-BB56-7FCCC4784F53}">
      <formula1>FUENTE_DE_LOS_RECURSOS</formula1>
    </dataValidation>
    <dataValidation type="list" allowBlank="1" showInputMessage="1" showErrorMessage="1" sqref="H120:H137" xr:uid="{179D52C6-3218-C448-872C-0C12503CFAC4}">
      <formula1>INDIRECT(G120)</formula1>
    </dataValidation>
    <dataValidation type="list" allowBlank="1" showInputMessage="1" showErrorMessage="1" sqref="Q3:Q245" xr:uid="{8B352AB1-C4AE-4993-AE2B-FF2EB12DEA64}">
      <formula1>SINO</formula1>
    </dataValidation>
  </dataValidations>
  <pageMargins left="0.7" right="0.7" top="0.75" bottom="0.75" header="0.3" footer="0.3"/>
  <pageSetup scale="1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8DAF5-1B25-994D-941A-2E5231BB8AF4}">
  <sheetPr>
    <tabColor theme="9" tint="-0.249977111117893"/>
  </sheetPr>
  <dimension ref="A1:WWN154"/>
  <sheetViews>
    <sheetView tabSelected="1" zoomScale="85" zoomScaleNormal="85" workbookViewId="0">
      <pane ySplit="2" topLeftCell="A3" activePane="bottomLeft" state="frozen"/>
      <selection activeCell="Z1" sqref="Z1"/>
      <selection pane="bottomLeft" activeCell="A2" sqref="A2"/>
    </sheetView>
  </sheetViews>
  <sheetFormatPr baseColWidth="10" defaultColWidth="0" defaultRowHeight="182.1" customHeight="1" x14ac:dyDescent="0.25"/>
  <cols>
    <col min="1" max="1" width="41.85546875" style="641" customWidth="1"/>
    <col min="2" max="2" width="39.28515625" style="640" customWidth="1"/>
    <col min="3" max="3" width="42.7109375" style="640" customWidth="1"/>
    <col min="4" max="4" width="55.85546875" style="640" customWidth="1"/>
    <col min="5" max="5" width="75" style="640" customWidth="1"/>
    <col min="6" max="6" width="26.140625" style="641" customWidth="1"/>
    <col min="7" max="7" width="19.28515625" style="640" customWidth="1"/>
    <col min="8" max="8" width="29.28515625" style="640" customWidth="1"/>
    <col min="9" max="9" width="41.140625" style="640" customWidth="1"/>
    <col min="10" max="10" width="41.42578125" style="640" customWidth="1"/>
    <col min="11" max="11" width="54.7109375" style="640" customWidth="1"/>
    <col min="12" max="12" width="39.85546875" style="640" customWidth="1"/>
    <col min="13" max="13" width="48.42578125" style="640" customWidth="1"/>
    <col min="14" max="14" width="22.42578125" style="640" bestFit="1" customWidth="1"/>
    <col min="15" max="15" width="50.140625" style="645" customWidth="1"/>
    <col min="16" max="16" width="17.42578125" style="640" customWidth="1"/>
    <col min="17" max="17" width="45.42578125" style="645" customWidth="1"/>
    <col min="18" max="18" width="29.85546875" style="640" customWidth="1"/>
    <col min="19" max="32" width="0" style="640" hidden="1"/>
    <col min="33" max="33" width="132.42578125" style="640" hidden="1"/>
    <col min="34" max="16160" width="0" style="640" hidden="1"/>
    <col min="16161" max="16384" width="132.42578125" style="640" hidden="1"/>
  </cols>
  <sheetData>
    <row r="1" spans="1:18" ht="61.5" customHeight="1" x14ac:dyDescent="0.25">
      <c r="A1" s="646"/>
      <c r="B1" s="647" t="s">
        <v>18</v>
      </c>
      <c r="C1" s="648" t="s">
        <v>19</v>
      </c>
      <c r="D1" s="702"/>
      <c r="E1" s="702"/>
      <c r="F1" s="675"/>
      <c r="G1" s="702"/>
      <c r="H1" s="702"/>
      <c r="I1" s="616"/>
      <c r="J1" s="675"/>
      <c r="K1" s="675"/>
      <c r="L1" s="675"/>
      <c r="M1" s="675"/>
      <c r="N1" s="729">
        <v>8810749822</v>
      </c>
      <c r="O1" s="704"/>
      <c r="P1" s="675"/>
      <c r="Q1" s="704"/>
      <c r="R1" s="675"/>
    </row>
    <row r="2" spans="1:18" ht="33.75" customHeight="1" x14ac:dyDescent="0.25">
      <c r="A2" s="649" t="s">
        <v>22</v>
      </c>
      <c r="B2" s="650" t="s">
        <v>23</v>
      </c>
      <c r="C2" s="642" t="s">
        <v>25</v>
      </c>
      <c r="D2" s="650" t="s">
        <v>26</v>
      </c>
      <c r="E2" s="650" t="s">
        <v>27</v>
      </c>
      <c r="F2" s="650" t="s">
        <v>28</v>
      </c>
      <c r="G2" s="650" t="s">
        <v>29</v>
      </c>
      <c r="H2" s="650" t="s">
        <v>30</v>
      </c>
      <c r="I2" s="650" t="s">
        <v>31</v>
      </c>
      <c r="J2" s="650" t="s">
        <v>32</v>
      </c>
      <c r="K2" s="650" t="s">
        <v>483</v>
      </c>
      <c r="L2" s="650" t="s">
        <v>484</v>
      </c>
      <c r="M2" s="650" t="s">
        <v>485</v>
      </c>
      <c r="N2" s="651" t="s">
        <v>34</v>
      </c>
      <c r="O2" s="652" t="s">
        <v>44</v>
      </c>
      <c r="P2" s="650" t="s">
        <v>45</v>
      </c>
      <c r="Q2" s="650" t="s">
        <v>46</v>
      </c>
      <c r="R2" s="650" t="s">
        <v>487</v>
      </c>
    </row>
    <row r="3" spans="1:18" ht="24.95" customHeight="1" x14ac:dyDescent="0.25">
      <c r="A3" s="653"/>
      <c r="B3" s="705" t="s">
        <v>471</v>
      </c>
      <c r="C3" s="700" t="s">
        <v>473</v>
      </c>
      <c r="D3" s="654" t="s">
        <v>489</v>
      </c>
      <c r="E3" s="654" t="s">
        <v>490</v>
      </c>
      <c r="F3" s="655">
        <v>1</v>
      </c>
      <c r="G3" s="655"/>
      <c r="H3" s="705">
        <v>12</v>
      </c>
      <c r="I3" s="655"/>
      <c r="J3" s="655" t="s">
        <v>492</v>
      </c>
      <c r="K3" s="655" t="s">
        <v>3</v>
      </c>
      <c r="L3" s="656">
        <v>10</v>
      </c>
      <c r="M3" s="656" t="s">
        <v>493</v>
      </c>
      <c r="N3" s="706">
        <v>3332895275</v>
      </c>
      <c r="O3" s="700" t="s">
        <v>476</v>
      </c>
      <c r="P3" s="705">
        <v>3422121</v>
      </c>
      <c r="Q3" s="658" t="s">
        <v>494</v>
      </c>
      <c r="R3" s="657"/>
    </row>
    <row r="4" spans="1:18" ht="24.95" customHeight="1" x14ac:dyDescent="0.25">
      <c r="A4" s="653"/>
      <c r="B4" s="705" t="s">
        <v>471</v>
      </c>
      <c r="C4" s="700" t="s">
        <v>473</v>
      </c>
      <c r="D4" s="654" t="s">
        <v>489</v>
      </c>
      <c r="E4" s="654" t="s">
        <v>495</v>
      </c>
      <c r="F4" s="655">
        <v>1</v>
      </c>
      <c r="G4" s="655"/>
      <c r="H4" s="705">
        <v>12</v>
      </c>
      <c r="I4" s="655"/>
      <c r="J4" s="655" t="s">
        <v>492</v>
      </c>
      <c r="K4" s="655" t="s">
        <v>3</v>
      </c>
      <c r="L4" s="656">
        <v>10</v>
      </c>
      <c r="M4" s="656" t="s">
        <v>496</v>
      </c>
      <c r="N4" s="706">
        <v>16000000</v>
      </c>
      <c r="O4" s="700" t="s">
        <v>476</v>
      </c>
      <c r="P4" s="705">
        <v>3422121</v>
      </c>
      <c r="Q4" s="658" t="s">
        <v>494</v>
      </c>
      <c r="R4" s="657"/>
    </row>
    <row r="5" spans="1:18" ht="24.95" customHeight="1" x14ac:dyDescent="0.25">
      <c r="A5" s="653"/>
      <c r="B5" s="705" t="s">
        <v>471</v>
      </c>
      <c r="C5" s="700" t="s">
        <v>473</v>
      </c>
      <c r="D5" s="654" t="s">
        <v>489</v>
      </c>
      <c r="E5" s="654" t="s">
        <v>497</v>
      </c>
      <c r="F5" s="655">
        <v>1</v>
      </c>
      <c r="G5" s="655"/>
      <c r="H5" s="705">
        <v>12</v>
      </c>
      <c r="I5" s="655"/>
      <c r="J5" s="655" t="s">
        <v>492</v>
      </c>
      <c r="K5" s="655" t="s">
        <v>3</v>
      </c>
      <c r="L5" s="656">
        <v>10</v>
      </c>
      <c r="M5" s="656" t="s">
        <v>498</v>
      </c>
      <c r="N5" s="706">
        <v>31285478</v>
      </c>
      <c r="O5" s="700" t="s">
        <v>476</v>
      </c>
      <c r="P5" s="705">
        <v>3422121</v>
      </c>
      <c r="Q5" s="658" t="s">
        <v>494</v>
      </c>
      <c r="R5" s="657"/>
    </row>
    <row r="6" spans="1:18" ht="24.95" customHeight="1" x14ac:dyDescent="0.25">
      <c r="A6" s="653"/>
      <c r="B6" s="705" t="s">
        <v>471</v>
      </c>
      <c r="C6" s="700" t="s">
        <v>473</v>
      </c>
      <c r="D6" s="654" t="s">
        <v>489</v>
      </c>
      <c r="E6" s="654" t="s">
        <v>499</v>
      </c>
      <c r="F6" s="655">
        <v>1</v>
      </c>
      <c r="G6" s="655"/>
      <c r="H6" s="705">
        <v>12</v>
      </c>
      <c r="I6" s="655"/>
      <c r="J6" s="655" t="s">
        <v>492</v>
      </c>
      <c r="K6" s="655" t="s">
        <v>3</v>
      </c>
      <c r="L6" s="656">
        <v>10</v>
      </c>
      <c r="M6" s="656" t="s">
        <v>500</v>
      </c>
      <c r="N6" s="706">
        <v>36098145</v>
      </c>
      <c r="O6" s="700" t="s">
        <v>476</v>
      </c>
      <c r="P6" s="705">
        <v>3422121</v>
      </c>
      <c r="Q6" s="658" t="s">
        <v>494</v>
      </c>
      <c r="R6" s="657"/>
    </row>
    <row r="7" spans="1:18" ht="24.95" customHeight="1" x14ac:dyDescent="0.25">
      <c r="A7" s="653"/>
      <c r="B7" s="705" t="s">
        <v>471</v>
      </c>
      <c r="C7" s="700" t="s">
        <v>473</v>
      </c>
      <c r="D7" s="654" t="s">
        <v>489</v>
      </c>
      <c r="E7" s="654" t="s">
        <v>501</v>
      </c>
      <c r="F7" s="655">
        <v>1</v>
      </c>
      <c r="G7" s="655"/>
      <c r="H7" s="705">
        <v>12</v>
      </c>
      <c r="I7" s="655"/>
      <c r="J7" s="655" t="s">
        <v>492</v>
      </c>
      <c r="K7" s="655" t="s">
        <v>3</v>
      </c>
      <c r="L7" s="656">
        <v>10</v>
      </c>
      <c r="M7" s="656" t="s">
        <v>502</v>
      </c>
      <c r="N7" s="706">
        <v>170972604</v>
      </c>
      <c r="O7" s="700" t="s">
        <v>476</v>
      </c>
      <c r="P7" s="705">
        <v>3422121</v>
      </c>
      <c r="Q7" s="658" t="s">
        <v>494</v>
      </c>
      <c r="R7" s="657"/>
    </row>
    <row r="8" spans="1:18" ht="24.95" customHeight="1" x14ac:dyDescent="0.25">
      <c r="A8" s="653"/>
      <c r="B8" s="705" t="s">
        <v>471</v>
      </c>
      <c r="C8" s="700" t="s">
        <v>473</v>
      </c>
      <c r="D8" s="654" t="s">
        <v>489</v>
      </c>
      <c r="E8" s="654" t="s">
        <v>503</v>
      </c>
      <c r="F8" s="655">
        <v>1</v>
      </c>
      <c r="G8" s="655"/>
      <c r="H8" s="705">
        <v>12</v>
      </c>
      <c r="I8" s="655"/>
      <c r="J8" s="655" t="s">
        <v>492</v>
      </c>
      <c r="K8" s="655" t="s">
        <v>3</v>
      </c>
      <c r="L8" s="656">
        <v>10</v>
      </c>
      <c r="M8" s="656" t="s">
        <v>504</v>
      </c>
      <c r="N8" s="706">
        <v>110528791</v>
      </c>
      <c r="O8" s="700" t="s">
        <v>476</v>
      </c>
      <c r="P8" s="705">
        <v>3422121</v>
      </c>
      <c r="Q8" s="658" t="s">
        <v>494</v>
      </c>
      <c r="R8" s="657"/>
    </row>
    <row r="9" spans="1:18" ht="24.95" customHeight="1" x14ac:dyDescent="0.25">
      <c r="A9" s="653"/>
      <c r="B9" s="705" t="s">
        <v>471</v>
      </c>
      <c r="C9" s="700" t="s">
        <v>473</v>
      </c>
      <c r="D9" s="654" t="s">
        <v>489</v>
      </c>
      <c r="E9" s="654" t="s">
        <v>505</v>
      </c>
      <c r="F9" s="655">
        <v>1</v>
      </c>
      <c r="G9" s="655"/>
      <c r="H9" s="705">
        <v>12</v>
      </c>
      <c r="I9" s="655"/>
      <c r="J9" s="655" t="s">
        <v>492</v>
      </c>
      <c r="K9" s="655" t="s">
        <v>3</v>
      </c>
      <c r="L9" s="656">
        <v>10</v>
      </c>
      <c r="M9" s="656" t="s">
        <v>506</v>
      </c>
      <c r="N9" s="706">
        <v>12000000</v>
      </c>
      <c r="O9" s="700" t="s">
        <v>476</v>
      </c>
      <c r="P9" s="705">
        <v>3422121</v>
      </c>
      <c r="Q9" s="658" t="s">
        <v>494</v>
      </c>
      <c r="R9" s="657"/>
    </row>
    <row r="10" spans="1:18" ht="24.95" customHeight="1" x14ac:dyDescent="0.25">
      <c r="A10" s="653"/>
      <c r="B10" s="705" t="s">
        <v>471</v>
      </c>
      <c r="C10" s="700" t="s">
        <v>473</v>
      </c>
      <c r="D10" s="654" t="s">
        <v>489</v>
      </c>
      <c r="E10" s="654" t="s">
        <v>507</v>
      </c>
      <c r="F10" s="655">
        <v>1</v>
      </c>
      <c r="G10" s="655"/>
      <c r="H10" s="705">
        <v>12</v>
      </c>
      <c r="I10" s="655"/>
      <c r="J10" s="655" t="s">
        <v>492</v>
      </c>
      <c r="K10" s="655" t="s">
        <v>3</v>
      </c>
      <c r="L10" s="656">
        <v>10</v>
      </c>
      <c r="M10" s="656" t="s">
        <v>508</v>
      </c>
      <c r="N10" s="706">
        <v>335557453</v>
      </c>
      <c r="O10" s="700" t="s">
        <v>476</v>
      </c>
      <c r="P10" s="705">
        <v>3422121</v>
      </c>
      <c r="Q10" s="658" t="s">
        <v>494</v>
      </c>
      <c r="R10" s="657"/>
    </row>
    <row r="11" spans="1:18" ht="24.95" customHeight="1" x14ac:dyDescent="0.25">
      <c r="A11" s="653"/>
      <c r="B11" s="705" t="s">
        <v>471</v>
      </c>
      <c r="C11" s="700" t="s">
        <v>473</v>
      </c>
      <c r="D11" s="654" t="s">
        <v>489</v>
      </c>
      <c r="E11" s="654" t="s">
        <v>509</v>
      </c>
      <c r="F11" s="655">
        <v>1</v>
      </c>
      <c r="G11" s="655"/>
      <c r="H11" s="705">
        <v>12</v>
      </c>
      <c r="I11" s="655"/>
      <c r="J11" s="655" t="s">
        <v>492</v>
      </c>
      <c r="K11" s="655" t="s">
        <v>3</v>
      </c>
      <c r="L11" s="656">
        <v>10</v>
      </c>
      <c r="M11" s="656" t="s">
        <v>510</v>
      </c>
      <c r="N11" s="706">
        <v>175507956</v>
      </c>
      <c r="O11" s="700" t="s">
        <v>476</v>
      </c>
      <c r="P11" s="705">
        <v>3422121</v>
      </c>
      <c r="Q11" s="658" t="s">
        <v>494</v>
      </c>
      <c r="R11" s="657"/>
    </row>
    <row r="12" spans="1:18" ht="24.95" customHeight="1" x14ac:dyDescent="0.25">
      <c r="A12" s="653"/>
      <c r="B12" s="705" t="s">
        <v>471</v>
      </c>
      <c r="C12" s="700" t="s">
        <v>473</v>
      </c>
      <c r="D12" s="654" t="s">
        <v>489</v>
      </c>
      <c r="E12" s="654" t="s">
        <v>511</v>
      </c>
      <c r="F12" s="655">
        <v>1</v>
      </c>
      <c r="G12" s="655"/>
      <c r="H12" s="705">
        <v>12</v>
      </c>
      <c r="I12" s="655"/>
      <c r="J12" s="655" t="s">
        <v>492</v>
      </c>
      <c r="K12" s="655" t="s">
        <v>3</v>
      </c>
      <c r="L12" s="656">
        <v>10</v>
      </c>
      <c r="M12" s="656" t="s">
        <v>512</v>
      </c>
      <c r="N12" s="706">
        <v>7423593</v>
      </c>
      <c r="O12" s="700" t="s">
        <v>476</v>
      </c>
      <c r="P12" s="705">
        <v>3422121</v>
      </c>
      <c r="Q12" s="658" t="s">
        <v>494</v>
      </c>
      <c r="R12" s="657"/>
    </row>
    <row r="13" spans="1:18" ht="24.95" customHeight="1" x14ac:dyDescent="0.25">
      <c r="A13" s="653"/>
      <c r="B13" s="705" t="s">
        <v>471</v>
      </c>
      <c r="C13" s="700" t="s">
        <v>473</v>
      </c>
      <c r="D13" s="654" t="s">
        <v>489</v>
      </c>
      <c r="E13" s="654" t="s">
        <v>513</v>
      </c>
      <c r="F13" s="655">
        <v>1</v>
      </c>
      <c r="G13" s="655"/>
      <c r="H13" s="705">
        <v>12</v>
      </c>
      <c r="I13" s="655"/>
      <c r="J13" s="655" t="s">
        <v>492</v>
      </c>
      <c r="K13" s="655" t="s">
        <v>3</v>
      </c>
      <c r="L13" s="656">
        <v>10</v>
      </c>
      <c r="M13" s="656" t="s">
        <v>514</v>
      </c>
      <c r="N13" s="706">
        <v>430465980</v>
      </c>
      <c r="O13" s="700" t="s">
        <v>476</v>
      </c>
      <c r="P13" s="705">
        <v>3422121</v>
      </c>
      <c r="Q13" s="658" t="s">
        <v>494</v>
      </c>
      <c r="R13" s="657"/>
    </row>
    <row r="14" spans="1:18" ht="24.95" customHeight="1" x14ac:dyDescent="0.25">
      <c r="A14" s="653"/>
      <c r="B14" s="705" t="s">
        <v>471</v>
      </c>
      <c r="C14" s="700" t="s">
        <v>473</v>
      </c>
      <c r="D14" s="654" t="s">
        <v>489</v>
      </c>
      <c r="E14" s="654" t="s">
        <v>515</v>
      </c>
      <c r="F14" s="655">
        <v>1</v>
      </c>
      <c r="G14" s="655"/>
      <c r="H14" s="705">
        <v>12</v>
      </c>
      <c r="I14" s="655"/>
      <c r="J14" s="655" t="s">
        <v>492</v>
      </c>
      <c r="K14" s="655" t="s">
        <v>3</v>
      </c>
      <c r="L14" s="656">
        <v>10</v>
      </c>
      <c r="M14" s="656" t="s">
        <v>516</v>
      </c>
      <c r="N14" s="706">
        <v>310279306</v>
      </c>
      <c r="O14" s="700" t="s">
        <v>476</v>
      </c>
      <c r="P14" s="705">
        <v>3422121</v>
      </c>
      <c r="Q14" s="658" t="s">
        <v>494</v>
      </c>
      <c r="R14" s="657"/>
    </row>
    <row r="15" spans="1:18" ht="24.95" customHeight="1" x14ac:dyDescent="0.25">
      <c r="A15" s="653"/>
      <c r="B15" s="705" t="s">
        <v>471</v>
      </c>
      <c r="C15" s="700" t="s">
        <v>473</v>
      </c>
      <c r="D15" s="654" t="s">
        <v>489</v>
      </c>
      <c r="E15" s="654" t="s">
        <v>517</v>
      </c>
      <c r="F15" s="655">
        <v>1</v>
      </c>
      <c r="G15" s="655"/>
      <c r="H15" s="705">
        <v>12</v>
      </c>
      <c r="I15" s="655"/>
      <c r="J15" s="655" t="s">
        <v>492</v>
      </c>
      <c r="K15" s="655" t="s">
        <v>3</v>
      </c>
      <c r="L15" s="656">
        <v>10</v>
      </c>
      <c r="M15" s="656" t="s">
        <v>518</v>
      </c>
      <c r="N15" s="706">
        <v>354310410</v>
      </c>
      <c r="O15" s="700" t="s">
        <v>476</v>
      </c>
      <c r="P15" s="705">
        <v>3422121</v>
      </c>
      <c r="Q15" s="658" t="s">
        <v>494</v>
      </c>
      <c r="R15" s="657"/>
    </row>
    <row r="16" spans="1:18" ht="24.95" customHeight="1" x14ac:dyDescent="0.25">
      <c r="A16" s="653"/>
      <c r="B16" s="705" t="s">
        <v>471</v>
      </c>
      <c r="C16" s="700" t="s">
        <v>473</v>
      </c>
      <c r="D16" s="654" t="s">
        <v>489</v>
      </c>
      <c r="E16" s="654" t="s">
        <v>519</v>
      </c>
      <c r="F16" s="655">
        <v>1</v>
      </c>
      <c r="G16" s="655"/>
      <c r="H16" s="705">
        <v>12</v>
      </c>
      <c r="I16" s="655"/>
      <c r="J16" s="655" t="s">
        <v>492</v>
      </c>
      <c r="K16" s="655" t="s">
        <v>3</v>
      </c>
      <c r="L16" s="656">
        <v>10</v>
      </c>
      <c r="M16" s="656" t="s">
        <v>520</v>
      </c>
      <c r="N16" s="706">
        <v>161968021</v>
      </c>
      <c r="O16" s="700" t="s">
        <v>476</v>
      </c>
      <c r="P16" s="705">
        <v>3422121</v>
      </c>
      <c r="Q16" s="658" t="s">
        <v>494</v>
      </c>
      <c r="R16" s="657"/>
    </row>
    <row r="17" spans="1:18" ht="24.95" customHeight="1" x14ac:dyDescent="0.25">
      <c r="A17" s="653"/>
      <c r="B17" s="705" t="s">
        <v>471</v>
      </c>
      <c r="C17" s="700" t="s">
        <v>473</v>
      </c>
      <c r="D17" s="654" t="s">
        <v>489</v>
      </c>
      <c r="E17" s="654" t="s">
        <v>521</v>
      </c>
      <c r="F17" s="655">
        <v>1</v>
      </c>
      <c r="G17" s="655"/>
      <c r="H17" s="705">
        <v>12</v>
      </c>
      <c r="I17" s="655"/>
      <c r="J17" s="655" t="s">
        <v>492</v>
      </c>
      <c r="K17" s="655" t="s">
        <v>3</v>
      </c>
      <c r="L17" s="656">
        <v>10</v>
      </c>
      <c r="M17" s="656" t="s">
        <v>522</v>
      </c>
      <c r="N17" s="706">
        <v>30494463</v>
      </c>
      <c r="O17" s="700" t="s">
        <v>476</v>
      </c>
      <c r="P17" s="705">
        <v>3422121</v>
      </c>
      <c r="Q17" s="658" t="s">
        <v>494</v>
      </c>
      <c r="R17" s="657"/>
    </row>
    <row r="18" spans="1:18" ht="24.95" customHeight="1" x14ac:dyDescent="0.25">
      <c r="A18" s="653"/>
      <c r="B18" s="705" t="s">
        <v>471</v>
      </c>
      <c r="C18" s="700" t="s">
        <v>473</v>
      </c>
      <c r="D18" s="654" t="s">
        <v>489</v>
      </c>
      <c r="E18" s="654" t="s">
        <v>523</v>
      </c>
      <c r="F18" s="655">
        <v>1</v>
      </c>
      <c r="G18" s="655"/>
      <c r="H18" s="705">
        <v>12</v>
      </c>
      <c r="I18" s="655"/>
      <c r="J18" s="655" t="s">
        <v>492</v>
      </c>
      <c r="K18" s="655" t="s">
        <v>3</v>
      </c>
      <c r="L18" s="656">
        <v>10</v>
      </c>
      <c r="M18" s="656" t="s">
        <v>524</v>
      </c>
      <c r="N18" s="706">
        <v>121786588</v>
      </c>
      <c r="O18" s="700" t="s">
        <v>476</v>
      </c>
      <c r="P18" s="705">
        <v>3422121</v>
      </c>
      <c r="Q18" s="658" t="s">
        <v>494</v>
      </c>
      <c r="R18" s="657"/>
    </row>
    <row r="19" spans="1:18" ht="24.95" customHeight="1" x14ac:dyDescent="0.25">
      <c r="A19" s="653"/>
      <c r="B19" s="705" t="s">
        <v>471</v>
      </c>
      <c r="C19" s="700" t="s">
        <v>473</v>
      </c>
      <c r="D19" s="654" t="s">
        <v>489</v>
      </c>
      <c r="E19" s="654" t="s">
        <v>525</v>
      </c>
      <c r="F19" s="655">
        <v>1</v>
      </c>
      <c r="G19" s="655"/>
      <c r="H19" s="705">
        <v>12</v>
      </c>
      <c r="I19" s="655"/>
      <c r="J19" s="655" t="s">
        <v>492</v>
      </c>
      <c r="K19" s="655" t="s">
        <v>3</v>
      </c>
      <c r="L19" s="656">
        <v>10</v>
      </c>
      <c r="M19" s="656" t="s">
        <v>526</v>
      </c>
      <c r="N19" s="706">
        <v>81008149</v>
      </c>
      <c r="O19" s="700" t="s">
        <v>476</v>
      </c>
      <c r="P19" s="705">
        <v>3422121</v>
      </c>
      <c r="Q19" s="658" t="s">
        <v>494</v>
      </c>
      <c r="R19" s="657"/>
    </row>
    <row r="20" spans="1:18" ht="24.95" customHeight="1" x14ac:dyDescent="0.25">
      <c r="A20" s="653"/>
      <c r="B20" s="705" t="s">
        <v>471</v>
      </c>
      <c r="C20" s="700" t="s">
        <v>473</v>
      </c>
      <c r="D20" s="654" t="s">
        <v>489</v>
      </c>
      <c r="E20" s="654" t="s">
        <v>527</v>
      </c>
      <c r="F20" s="655">
        <v>1</v>
      </c>
      <c r="G20" s="655"/>
      <c r="H20" s="705">
        <v>12</v>
      </c>
      <c r="I20" s="655"/>
      <c r="J20" s="655" t="s">
        <v>492</v>
      </c>
      <c r="K20" s="655" t="s">
        <v>3</v>
      </c>
      <c r="L20" s="656">
        <v>10</v>
      </c>
      <c r="M20" s="656" t="s">
        <v>528</v>
      </c>
      <c r="N20" s="706">
        <v>182879644</v>
      </c>
      <c r="O20" s="700" t="s">
        <v>476</v>
      </c>
      <c r="P20" s="705">
        <v>3422121</v>
      </c>
      <c r="Q20" s="658" t="s">
        <v>494</v>
      </c>
      <c r="R20" s="657"/>
    </row>
    <row r="21" spans="1:18" ht="24.95" customHeight="1" x14ac:dyDescent="0.25">
      <c r="A21" s="653"/>
      <c r="B21" s="705" t="s">
        <v>471</v>
      </c>
      <c r="C21" s="700" t="s">
        <v>473</v>
      </c>
      <c r="D21" s="654" t="s">
        <v>489</v>
      </c>
      <c r="E21" s="654" t="s">
        <v>529</v>
      </c>
      <c r="F21" s="655">
        <v>1</v>
      </c>
      <c r="G21" s="655"/>
      <c r="H21" s="705">
        <v>12</v>
      </c>
      <c r="I21" s="655"/>
      <c r="J21" s="655" t="s">
        <v>492</v>
      </c>
      <c r="K21" s="655" t="s">
        <v>3</v>
      </c>
      <c r="L21" s="656">
        <v>10</v>
      </c>
      <c r="M21" s="656" t="s">
        <v>530</v>
      </c>
      <c r="N21" s="706">
        <v>29141903</v>
      </c>
      <c r="O21" s="700" t="s">
        <v>476</v>
      </c>
      <c r="P21" s="705">
        <v>3422121</v>
      </c>
      <c r="Q21" s="658" t="s">
        <v>494</v>
      </c>
      <c r="R21" s="657"/>
    </row>
    <row r="22" spans="1:18" ht="24.95" customHeight="1" x14ac:dyDescent="0.25">
      <c r="A22" s="653"/>
      <c r="B22" s="705" t="s">
        <v>471</v>
      </c>
      <c r="C22" s="700" t="s">
        <v>473</v>
      </c>
      <c r="D22" s="654" t="s">
        <v>489</v>
      </c>
      <c r="E22" s="654" t="s">
        <v>531</v>
      </c>
      <c r="F22" s="655">
        <v>1</v>
      </c>
      <c r="G22" s="655"/>
      <c r="H22" s="705">
        <v>12</v>
      </c>
      <c r="I22" s="655"/>
      <c r="J22" s="655" t="s">
        <v>492</v>
      </c>
      <c r="K22" s="655" t="s">
        <v>3</v>
      </c>
      <c r="L22" s="656">
        <v>10</v>
      </c>
      <c r="M22" s="656" t="s">
        <v>532</v>
      </c>
      <c r="N22" s="706">
        <v>17990142</v>
      </c>
      <c r="O22" s="700" t="s">
        <v>476</v>
      </c>
      <c r="P22" s="705">
        <v>3422121</v>
      </c>
      <c r="Q22" s="658" t="s">
        <v>494</v>
      </c>
      <c r="R22" s="657"/>
    </row>
    <row r="23" spans="1:18" ht="24.95" customHeight="1" x14ac:dyDescent="0.25">
      <c r="A23" s="653"/>
      <c r="B23" s="705" t="s">
        <v>471</v>
      </c>
      <c r="C23" s="700" t="s">
        <v>473</v>
      </c>
      <c r="D23" s="654" t="s">
        <v>489</v>
      </c>
      <c r="E23" s="654" t="s">
        <v>533</v>
      </c>
      <c r="F23" s="655">
        <v>1</v>
      </c>
      <c r="G23" s="655"/>
      <c r="H23" s="705">
        <v>12</v>
      </c>
      <c r="I23" s="655"/>
      <c r="J23" s="655" t="s">
        <v>492</v>
      </c>
      <c r="K23" s="655" t="s">
        <v>3</v>
      </c>
      <c r="L23" s="656">
        <v>10</v>
      </c>
      <c r="M23" s="656" t="s">
        <v>534</v>
      </c>
      <c r="N23" s="706">
        <v>121018670</v>
      </c>
      <c r="O23" s="700" t="s">
        <v>476</v>
      </c>
      <c r="P23" s="705">
        <v>3422121</v>
      </c>
      <c r="Q23" s="658" t="s">
        <v>494</v>
      </c>
      <c r="R23" s="657"/>
    </row>
    <row r="24" spans="1:18" ht="24.95" customHeight="1" x14ac:dyDescent="0.25">
      <c r="A24" s="653"/>
      <c r="B24" s="705" t="s">
        <v>471</v>
      </c>
      <c r="C24" s="700" t="s">
        <v>473</v>
      </c>
      <c r="D24" s="654" t="s">
        <v>489</v>
      </c>
      <c r="E24" s="654" t="s">
        <v>535</v>
      </c>
      <c r="F24" s="655">
        <v>1</v>
      </c>
      <c r="G24" s="655"/>
      <c r="H24" s="705">
        <v>12</v>
      </c>
      <c r="I24" s="655"/>
      <c r="J24" s="655" t="s">
        <v>492</v>
      </c>
      <c r="K24" s="655" t="s">
        <v>3</v>
      </c>
      <c r="L24" s="656">
        <v>10</v>
      </c>
      <c r="M24" s="656" t="s">
        <v>536</v>
      </c>
      <c r="N24" s="706">
        <v>90245868</v>
      </c>
      <c r="O24" s="700" t="s">
        <v>476</v>
      </c>
      <c r="P24" s="705">
        <v>3422121</v>
      </c>
      <c r="Q24" s="658" t="s">
        <v>494</v>
      </c>
      <c r="R24" s="657"/>
    </row>
    <row r="25" spans="1:18" ht="24.95" customHeight="1" x14ac:dyDescent="0.25">
      <c r="A25" s="653"/>
      <c r="B25" s="705" t="s">
        <v>471</v>
      </c>
      <c r="C25" s="700" t="s">
        <v>473</v>
      </c>
      <c r="D25" s="654" t="s">
        <v>489</v>
      </c>
      <c r="E25" s="654" t="s">
        <v>537</v>
      </c>
      <c r="F25" s="655">
        <v>1</v>
      </c>
      <c r="G25" s="655"/>
      <c r="H25" s="705">
        <v>12</v>
      </c>
      <c r="I25" s="655"/>
      <c r="J25" s="655" t="s">
        <v>492</v>
      </c>
      <c r="K25" s="655" t="s">
        <v>3</v>
      </c>
      <c r="L25" s="656">
        <v>10</v>
      </c>
      <c r="M25" s="656" t="s">
        <v>538</v>
      </c>
      <c r="N25" s="706">
        <v>54000000</v>
      </c>
      <c r="O25" s="700" t="s">
        <v>476</v>
      </c>
      <c r="P25" s="705">
        <v>3422121</v>
      </c>
      <c r="Q25" s="658" t="s">
        <v>494</v>
      </c>
      <c r="R25" s="657"/>
    </row>
    <row r="26" spans="1:18" ht="24.95" customHeight="1" x14ac:dyDescent="0.25">
      <c r="A26" s="653"/>
      <c r="B26" s="705" t="s">
        <v>471</v>
      </c>
      <c r="C26" s="700" t="s">
        <v>473</v>
      </c>
      <c r="D26" s="654" t="s">
        <v>489</v>
      </c>
      <c r="E26" s="659" t="s">
        <v>539</v>
      </c>
      <c r="F26" s="655">
        <v>1</v>
      </c>
      <c r="G26" s="655"/>
      <c r="H26" s="705">
        <v>12</v>
      </c>
      <c r="I26" s="655"/>
      <c r="J26" s="655" t="s">
        <v>492</v>
      </c>
      <c r="K26" s="655" t="s">
        <v>3</v>
      </c>
      <c r="L26" s="656">
        <v>10</v>
      </c>
      <c r="M26" s="656" t="s">
        <v>540</v>
      </c>
      <c r="N26" s="706">
        <v>8240000</v>
      </c>
      <c r="O26" s="700" t="s">
        <v>476</v>
      </c>
      <c r="P26" s="705">
        <v>3422121</v>
      </c>
      <c r="Q26" s="658" t="s">
        <v>494</v>
      </c>
      <c r="R26" s="657"/>
    </row>
    <row r="27" spans="1:18" ht="24.95" customHeight="1" x14ac:dyDescent="0.25">
      <c r="A27" s="694">
        <v>80111601</v>
      </c>
      <c r="B27" s="705" t="s">
        <v>471</v>
      </c>
      <c r="C27" s="705" t="s">
        <v>68</v>
      </c>
      <c r="D27" s="705" t="s">
        <v>68</v>
      </c>
      <c r="E27" s="690" t="s">
        <v>541</v>
      </c>
      <c r="F27" s="655">
        <v>1</v>
      </c>
      <c r="G27" s="705"/>
      <c r="H27" s="705">
        <v>11</v>
      </c>
      <c r="I27" s="705"/>
      <c r="J27" s="705" t="s">
        <v>83</v>
      </c>
      <c r="K27" s="655" t="s">
        <v>10</v>
      </c>
      <c r="L27" s="656">
        <v>20</v>
      </c>
      <c r="M27" s="656" t="s">
        <v>542</v>
      </c>
      <c r="N27" s="706">
        <v>16703910</v>
      </c>
      <c r="O27" s="705" t="s">
        <v>543</v>
      </c>
      <c r="P27" s="705">
        <v>3422121</v>
      </c>
      <c r="Q27" s="660" t="s">
        <v>544</v>
      </c>
      <c r="R27" s="705"/>
    </row>
    <row r="28" spans="1:18" ht="24.95" customHeight="1" x14ac:dyDescent="0.25">
      <c r="A28" s="694">
        <v>80111601</v>
      </c>
      <c r="B28" s="705" t="s">
        <v>471</v>
      </c>
      <c r="C28" s="705" t="s">
        <v>68</v>
      </c>
      <c r="D28" s="705" t="s">
        <v>68</v>
      </c>
      <c r="E28" s="690" t="s">
        <v>541</v>
      </c>
      <c r="F28" s="655">
        <v>1</v>
      </c>
      <c r="G28" s="705"/>
      <c r="H28" s="705">
        <v>11</v>
      </c>
      <c r="I28" s="705"/>
      <c r="J28" s="705" t="s">
        <v>83</v>
      </c>
      <c r="K28" s="655" t="s">
        <v>3</v>
      </c>
      <c r="L28" s="656">
        <v>10</v>
      </c>
      <c r="M28" s="656" t="s">
        <v>542</v>
      </c>
      <c r="N28" s="706">
        <v>11135940</v>
      </c>
      <c r="O28" s="705" t="s">
        <v>543</v>
      </c>
      <c r="P28" s="705">
        <v>3422121</v>
      </c>
      <c r="Q28" s="660" t="s">
        <v>544</v>
      </c>
      <c r="R28" s="705"/>
    </row>
    <row r="29" spans="1:18" ht="24.95" customHeight="1" x14ac:dyDescent="0.25">
      <c r="A29" s="692">
        <v>80121704</v>
      </c>
      <c r="B29" s="700" t="s">
        <v>471</v>
      </c>
      <c r="C29" s="700" t="s">
        <v>68</v>
      </c>
      <c r="D29" s="705" t="s">
        <v>68</v>
      </c>
      <c r="E29" s="684" t="s">
        <v>546</v>
      </c>
      <c r="F29" s="655">
        <v>1</v>
      </c>
      <c r="G29" s="700"/>
      <c r="H29" s="700">
        <v>11</v>
      </c>
      <c r="I29" s="695"/>
      <c r="J29" s="700" t="s">
        <v>83</v>
      </c>
      <c r="K29" s="655" t="s">
        <v>10</v>
      </c>
      <c r="L29" s="656">
        <v>20</v>
      </c>
      <c r="M29" s="656" t="s">
        <v>547</v>
      </c>
      <c r="N29" s="706">
        <v>22406208</v>
      </c>
      <c r="O29" s="700" t="s">
        <v>543</v>
      </c>
      <c r="P29" s="700">
        <v>3422121</v>
      </c>
      <c r="Q29" s="661" t="s">
        <v>544</v>
      </c>
      <c r="R29" s="700"/>
    </row>
    <row r="30" spans="1:18" ht="24.95" customHeight="1" x14ac:dyDescent="0.25">
      <c r="A30" s="692">
        <v>80121704</v>
      </c>
      <c r="B30" s="700" t="s">
        <v>471</v>
      </c>
      <c r="C30" s="700" t="s">
        <v>68</v>
      </c>
      <c r="D30" s="705" t="s">
        <v>68</v>
      </c>
      <c r="E30" s="684" t="s">
        <v>546</v>
      </c>
      <c r="F30" s="655">
        <v>1</v>
      </c>
      <c r="G30" s="700"/>
      <c r="H30" s="700">
        <v>11</v>
      </c>
      <c r="I30" s="695"/>
      <c r="J30" s="700" t="s">
        <v>83</v>
      </c>
      <c r="K30" s="655" t="s">
        <v>3</v>
      </c>
      <c r="L30" s="656">
        <v>10</v>
      </c>
      <c r="M30" s="656" t="s">
        <v>547</v>
      </c>
      <c r="N30" s="706">
        <v>14937472</v>
      </c>
      <c r="O30" s="700" t="s">
        <v>543</v>
      </c>
      <c r="P30" s="700">
        <v>3422121</v>
      </c>
      <c r="Q30" s="661" t="s">
        <v>544</v>
      </c>
      <c r="R30" s="700"/>
    </row>
    <row r="31" spans="1:18" ht="24.95" customHeight="1" x14ac:dyDescent="0.25">
      <c r="A31" s="692" t="s">
        <v>548</v>
      </c>
      <c r="B31" s="700" t="s">
        <v>471</v>
      </c>
      <c r="C31" s="700" t="s">
        <v>203</v>
      </c>
      <c r="D31" s="700" t="s">
        <v>549</v>
      </c>
      <c r="E31" s="684" t="s">
        <v>550</v>
      </c>
      <c r="F31" s="655">
        <v>1</v>
      </c>
      <c r="G31" s="700"/>
      <c r="H31" s="700">
        <v>11</v>
      </c>
      <c r="I31" s="695"/>
      <c r="J31" s="700" t="s">
        <v>83</v>
      </c>
      <c r="K31" s="655" t="s">
        <v>10</v>
      </c>
      <c r="L31" s="656">
        <v>21</v>
      </c>
      <c r="M31" s="656" t="s">
        <v>551</v>
      </c>
      <c r="N31" s="706">
        <v>40000000</v>
      </c>
      <c r="O31" s="700" t="s">
        <v>552</v>
      </c>
      <c r="P31" s="700">
        <v>3422121</v>
      </c>
      <c r="Q31" s="661" t="s">
        <v>553</v>
      </c>
      <c r="R31" s="700"/>
    </row>
    <row r="32" spans="1:18" ht="24.95" customHeight="1" x14ac:dyDescent="0.25">
      <c r="A32" s="692" t="s">
        <v>548</v>
      </c>
      <c r="B32" s="700" t="s">
        <v>471</v>
      </c>
      <c r="C32" s="700" t="s">
        <v>203</v>
      </c>
      <c r="D32" s="700" t="s">
        <v>549</v>
      </c>
      <c r="E32" s="684" t="s">
        <v>550</v>
      </c>
      <c r="F32" s="655">
        <v>1</v>
      </c>
      <c r="G32" s="700"/>
      <c r="H32" s="700">
        <v>11</v>
      </c>
      <c r="I32" s="695"/>
      <c r="J32" s="700" t="s">
        <v>83</v>
      </c>
      <c r="K32" s="655" t="s">
        <v>10</v>
      </c>
      <c r="L32" s="656">
        <v>20</v>
      </c>
      <c r="M32" s="656" t="s">
        <v>551</v>
      </c>
      <c r="N32" s="706">
        <v>4000000</v>
      </c>
      <c r="O32" s="700" t="s">
        <v>552</v>
      </c>
      <c r="P32" s="700">
        <v>3422121</v>
      </c>
      <c r="Q32" s="661" t="s">
        <v>553</v>
      </c>
      <c r="R32" s="700"/>
    </row>
    <row r="33" spans="1:18" ht="24.95" customHeight="1" x14ac:dyDescent="0.25">
      <c r="A33" s="692">
        <v>84111507</v>
      </c>
      <c r="B33" s="700" t="s">
        <v>471</v>
      </c>
      <c r="C33" s="700" t="s">
        <v>554</v>
      </c>
      <c r="D33" s="700" t="s">
        <v>554</v>
      </c>
      <c r="E33" s="684" t="s">
        <v>555</v>
      </c>
      <c r="F33" s="655">
        <v>1</v>
      </c>
      <c r="G33" s="700"/>
      <c r="H33" s="700">
        <v>10</v>
      </c>
      <c r="I33" s="695"/>
      <c r="J33" s="700" t="s">
        <v>83</v>
      </c>
      <c r="K33" s="655" t="s">
        <v>10</v>
      </c>
      <c r="L33" s="656">
        <v>20</v>
      </c>
      <c r="M33" s="656" t="s">
        <v>547</v>
      </c>
      <c r="N33" s="706">
        <v>15000000</v>
      </c>
      <c r="O33" s="700" t="s">
        <v>556</v>
      </c>
      <c r="P33" s="700">
        <v>3422121</v>
      </c>
      <c r="Q33" s="661" t="s">
        <v>557</v>
      </c>
      <c r="R33" s="700"/>
    </row>
    <row r="34" spans="1:18" ht="24.95" customHeight="1" x14ac:dyDescent="0.25">
      <c r="A34" s="692">
        <v>84111507</v>
      </c>
      <c r="B34" s="700" t="s">
        <v>471</v>
      </c>
      <c r="C34" s="700" t="s">
        <v>554</v>
      </c>
      <c r="D34" s="700" t="s">
        <v>554</v>
      </c>
      <c r="E34" s="684" t="s">
        <v>555</v>
      </c>
      <c r="F34" s="655">
        <v>1</v>
      </c>
      <c r="G34" s="700"/>
      <c r="H34" s="700">
        <v>10</v>
      </c>
      <c r="I34" s="695"/>
      <c r="J34" s="700" t="s">
        <v>83</v>
      </c>
      <c r="K34" s="655" t="s">
        <v>3</v>
      </c>
      <c r="L34" s="656">
        <v>10</v>
      </c>
      <c r="M34" s="656" t="s">
        <v>547</v>
      </c>
      <c r="N34" s="706">
        <v>10000000</v>
      </c>
      <c r="O34" s="700" t="s">
        <v>556</v>
      </c>
      <c r="P34" s="700">
        <v>3422121</v>
      </c>
      <c r="Q34" s="661" t="s">
        <v>557</v>
      </c>
      <c r="R34" s="700"/>
    </row>
    <row r="35" spans="1:18" ht="24.95" customHeight="1" x14ac:dyDescent="0.25">
      <c r="A35" s="692">
        <v>84111502</v>
      </c>
      <c r="B35" s="700" t="s">
        <v>471</v>
      </c>
      <c r="C35" s="700" t="s">
        <v>554</v>
      </c>
      <c r="D35" s="700" t="s">
        <v>554</v>
      </c>
      <c r="E35" s="684" t="s">
        <v>558</v>
      </c>
      <c r="F35" s="655">
        <v>1</v>
      </c>
      <c r="G35" s="700"/>
      <c r="H35" s="700">
        <v>11</v>
      </c>
      <c r="I35" s="695"/>
      <c r="J35" s="700" t="s">
        <v>83</v>
      </c>
      <c r="K35" s="655" t="s">
        <v>10</v>
      </c>
      <c r="L35" s="656">
        <v>20</v>
      </c>
      <c r="M35" s="656" t="s">
        <v>547</v>
      </c>
      <c r="N35" s="706">
        <v>29002464</v>
      </c>
      <c r="O35" s="700" t="s">
        <v>556</v>
      </c>
      <c r="P35" s="700">
        <v>3422121</v>
      </c>
      <c r="Q35" s="661" t="s">
        <v>557</v>
      </c>
      <c r="R35" s="700"/>
    </row>
    <row r="36" spans="1:18" ht="24.95" customHeight="1" x14ac:dyDescent="0.25">
      <c r="A36" s="692">
        <v>84111502</v>
      </c>
      <c r="B36" s="700" t="s">
        <v>471</v>
      </c>
      <c r="C36" s="700" t="s">
        <v>554</v>
      </c>
      <c r="D36" s="700" t="s">
        <v>554</v>
      </c>
      <c r="E36" s="684" t="s">
        <v>558</v>
      </c>
      <c r="F36" s="655">
        <v>1</v>
      </c>
      <c r="G36" s="700"/>
      <c r="H36" s="700">
        <v>11</v>
      </c>
      <c r="I36" s="695"/>
      <c r="J36" s="700" t="s">
        <v>83</v>
      </c>
      <c r="K36" s="655" t="s">
        <v>3</v>
      </c>
      <c r="L36" s="656">
        <v>10</v>
      </c>
      <c r="M36" s="656" t="s">
        <v>547</v>
      </c>
      <c r="N36" s="706">
        <v>19334976</v>
      </c>
      <c r="O36" s="700" t="s">
        <v>556</v>
      </c>
      <c r="P36" s="700">
        <v>3422121</v>
      </c>
      <c r="Q36" s="661" t="s">
        <v>557</v>
      </c>
      <c r="R36" s="700"/>
    </row>
    <row r="37" spans="1:18" ht="24.95" customHeight="1" x14ac:dyDescent="0.25">
      <c r="A37" s="663">
        <v>93141506</v>
      </c>
      <c r="B37" s="700" t="s">
        <v>471</v>
      </c>
      <c r="C37" s="700" t="s">
        <v>473</v>
      </c>
      <c r="D37" s="700" t="s">
        <v>559</v>
      </c>
      <c r="E37" s="684" t="s">
        <v>560</v>
      </c>
      <c r="F37" s="655">
        <v>1</v>
      </c>
      <c r="G37" s="700"/>
      <c r="H37" s="700">
        <v>11</v>
      </c>
      <c r="I37" s="695"/>
      <c r="J37" s="700" t="s">
        <v>83</v>
      </c>
      <c r="K37" s="655" t="s">
        <v>3</v>
      </c>
      <c r="L37" s="656">
        <v>10</v>
      </c>
      <c r="M37" s="656" t="s">
        <v>561</v>
      </c>
      <c r="N37" s="706">
        <v>12000000</v>
      </c>
      <c r="O37" s="700" t="s">
        <v>476</v>
      </c>
      <c r="P37" s="700">
        <v>3422121</v>
      </c>
      <c r="Q37" s="658" t="s">
        <v>494</v>
      </c>
      <c r="R37" s="700" t="s">
        <v>562</v>
      </c>
    </row>
    <row r="38" spans="1:18" ht="24.95" customHeight="1" x14ac:dyDescent="0.25">
      <c r="A38" s="663">
        <v>93141506</v>
      </c>
      <c r="B38" s="700" t="s">
        <v>471</v>
      </c>
      <c r="C38" s="700" t="s">
        <v>473</v>
      </c>
      <c r="D38" s="700" t="s">
        <v>559</v>
      </c>
      <c r="E38" s="684" t="s">
        <v>560</v>
      </c>
      <c r="F38" s="655">
        <v>1</v>
      </c>
      <c r="G38" s="700"/>
      <c r="H38" s="700">
        <v>11</v>
      </c>
      <c r="I38" s="695"/>
      <c r="J38" s="700" t="s">
        <v>83</v>
      </c>
      <c r="K38" s="655" t="s">
        <v>10</v>
      </c>
      <c r="L38" s="656">
        <v>20</v>
      </c>
      <c r="M38" s="656" t="s">
        <v>561</v>
      </c>
      <c r="N38" s="706">
        <v>11643000</v>
      </c>
      <c r="O38" s="700" t="s">
        <v>476</v>
      </c>
      <c r="P38" s="700">
        <v>3422121</v>
      </c>
      <c r="Q38" s="658" t="s">
        <v>494</v>
      </c>
      <c r="R38" s="700" t="s">
        <v>562</v>
      </c>
    </row>
    <row r="39" spans="1:18" ht="24.95" customHeight="1" x14ac:dyDescent="0.25">
      <c r="A39" s="664">
        <v>86101705</v>
      </c>
      <c r="B39" s="700" t="s">
        <v>471</v>
      </c>
      <c r="C39" s="700" t="s">
        <v>473</v>
      </c>
      <c r="D39" s="700" t="s">
        <v>559</v>
      </c>
      <c r="E39" s="684" t="s">
        <v>560</v>
      </c>
      <c r="F39" s="655">
        <v>1</v>
      </c>
      <c r="G39" s="700"/>
      <c r="H39" s="700">
        <v>11</v>
      </c>
      <c r="I39" s="695"/>
      <c r="J39" s="700" t="s">
        <v>83</v>
      </c>
      <c r="K39" s="655" t="s">
        <v>3</v>
      </c>
      <c r="L39" s="656">
        <v>10</v>
      </c>
      <c r="M39" s="656" t="s">
        <v>564</v>
      </c>
      <c r="N39" s="706">
        <v>5803400</v>
      </c>
      <c r="O39" s="700" t="s">
        <v>476</v>
      </c>
      <c r="P39" s="700"/>
      <c r="Q39" s="661" t="s">
        <v>494</v>
      </c>
      <c r="R39" s="700"/>
    </row>
    <row r="40" spans="1:18" ht="24.95" customHeight="1" x14ac:dyDescent="0.25">
      <c r="A40" s="664">
        <v>86101705</v>
      </c>
      <c r="B40" s="700" t="s">
        <v>471</v>
      </c>
      <c r="C40" s="700" t="s">
        <v>473</v>
      </c>
      <c r="D40" s="700" t="s">
        <v>559</v>
      </c>
      <c r="E40" s="684" t="s">
        <v>560</v>
      </c>
      <c r="F40" s="655">
        <v>1</v>
      </c>
      <c r="G40" s="700"/>
      <c r="H40" s="700">
        <v>11</v>
      </c>
      <c r="I40" s="695"/>
      <c r="J40" s="700" t="s">
        <v>83</v>
      </c>
      <c r="K40" s="655" t="s">
        <v>10</v>
      </c>
      <c r="L40" s="656">
        <v>20</v>
      </c>
      <c r="M40" s="656" t="s">
        <v>564</v>
      </c>
      <c r="N40" s="706">
        <v>5803400</v>
      </c>
      <c r="O40" s="700" t="s">
        <v>476</v>
      </c>
      <c r="P40" s="700"/>
      <c r="Q40" s="661" t="s">
        <v>494</v>
      </c>
      <c r="R40" s="700"/>
    </row>
    <row r="41" spans="1:18" ht="24.95" customHeight="1" x14ac:dyDescent="0.25">
      <c r="A41" s="692" t="s">
        <v>565</v>
      </c>
      <c r="B41" s="700" t="s">
        <v>471</v>
      </c>
      <c r="C41" s="700" t="s">
        <v>473</v>
      </c>
      <c r="D41" s="700" t="s">
        <v>559</v>
      </c>
      <c r="E41" s="684" t="s">
        <v>566</v>
      </c>
      <c r="F41" s="692">
        <v>3</v>
      </c>
      <c r="G41" s="700"/>
      <c r="H41" s="700">
        <v>9</v>
      </c>
      <c r="I41" s="695"/>
      <c r="J41" s="700" t="s">
        <v>318</v>
      </c>
      <c r="K41" s="655" t="s">
        <v>3</v>
      </c>
      <c r="L41" s="656">
        <v>10</v>
      </c>
      <c r="M41" s="656" t="s">
        <v>568</v>
      </c>
      <c r="N41" s="706">
        <v>9145843</v>
      </c>
      <c r="O41" s="700" t="s">
        <v>476</v>
      </c>
      <c r="P41" s="700"/>
      <c r="Q41" s="661" t="s">
        <v>494</v>
      </c>
      <c r="R41" s="700"/>
    </row>
    <row r="42" spans="1:18" ht="24.95" customHeight="1" x14ac:dyDescent="0.25">
      <c r="A42" s="692" t="s">
        <v>565</v>
      </c>
      <c r="B42" s="700" t="s">
        <v>471</v>
      </c>
      <c r="C42" s="700" t="s">
        <v>473</v>
      </c>
      <c r="D42" s="700" t="s">
        <v>559</v>
      </c>
      <c r="E42" s="684" t="s">
        <v>569</v>
      </c>
      <c r="F42" s="692">
        <v>8</v>
      </c>
      <c r="G42" s="700"/>
      <c r="H42" s="700">
        <v>9</v>
      </c>
      <c r="I42" s="695"/>
      <c r="J42" s="700" t="s">
        <v>318</v>
      </c>
      <c r="K42" s="655" t="s">
        <v>10</v>
      </c>
      <c r="L42" s="656">
        <v>20</v>
      </c>
      <c r="M42" s="656" t="s">
        <v>568</v>
      </c>
      <c r="N42" s="706">
        <v>9145843</v>
      </c>
      <c r="O42" s="700" t="s">
        <v>476</v>
      </c>
      <c r="P42" s="700"/>
      <c r="Q42" s="661" t="s">
        <v>494</v>
      </c>
      <c r="R42" s="700"/>
    </row>
    <row r="43" spans="1:18" ht="24.95" customHeight="1" x14ac:dyDescent="0.25">
      <c r="A43" s="692" t="s">
        <v>565</v>
      </c>
      <c r="B43" s="700" t="s">
        <v>471</v>
      </c>
      <c r="C43" s="700" t="s">
        <v>473</v>
      </c>
      <c r="D43" s="700" t="s">
        <v>559</v>
      </c>
      <c r="E43" s="684" t="s">
        <v>571</v>
      </c>
      <c r="F43" s="692">
        <v>10</v>
      </c>
      <c r="G43" s="700"/>
      <c r="H43" s="700">
        <v>9</v>
      </c>
      <c r="I43" s="695"/>
      <c r="J43" s="700" t="s">
        <v>318</v>
      </c>
      <c r="K43" s="655" t="s">
        <v>10</v>
      </c>
      <c r="L43" s="656">
        <v>20</v>
      </c>
      <c r="M43" s="656" t="s">
        <v>568</v>
      </c>
      <c r="N43" s="706">
        <v>12194457</v>
      </c>
      <c r="O43" s="700" t="s">
        <v>476</v>
      </c>
      <c r="P43" s="700"/>
      <c r="Q43" s="661" t="s">
        <v>494</v>
      </c>
      <c r="R43" s="700"/>
    </row>
    <row r="44" spans="1:18" s="643" customFormat="1" ht="24.95" customHeight="1" x14ac:dyDescent="0.25">
      <c r="A44" s="692">
        <v>80111620</v>
      </c>
      <c r="B44" s="700" t="s">
        <v>471</v>
      </c>
      <c r="C44" s="700" t="s">
        <v>473</v>
      </c>
      <c r="D44" s="700" t="s">
        <v>559</v>
      </c>
      <c r="E44" s="684" t="s">
        <v>573</v>
      </c>
      <c r="F44" s="655">
        <v>1</v>
      </c>
      <c r="G44" s="700"/>
      <c r="H44" s="700">
        <v>11</v>
      </c>
      <c r="I44" s="695"/>
      <c r="J44" s="700" t="s">
        <v>83</v>
      </c>
      <c r="K44" s="655" t="s">
        <v>10</v>
      </c>
      <c r="L44" s="656">
        <v>20</v>
      </c>
      <c r="M44" s="656" t="s">
        <v>551</v>
      </c>
      <c r="N44" s="706">
        <v>22665377</v>
      </c>
      <c r="O44" s="700" t="s">
        <v>476</v>
      </c>
      <c r="P44" s="700"/>
      <c r="Q44" s="658" t="s">
        <v>494</v>
      </c>
      <c r="R44" s="700"/>
    </row>
    <row r="45" spans="1:18" s="644" customFormat="1" ht="24.95" customHeight="1" x14ac:dyDescent="0.25">
      <c r="A45" s="692">
        <v>80111620</v>
      </c>
      <c r="B45" s="700" t="s">
        <v>471</v>
      </c>
      <c r="C45" s="700" t="s">
        <v>473</v>
      </c>
      <c r="D45" s="700" t="s">
        <v>559</v>
      </c>
      <c r="E45" s="684" t="s">
        <v>573</v>
      </c>
      <c r="F45" s="655">
        <v>1</v>
      </c>
      <c r="G45" s="700"/>
      <c r="H45" s="700">
        <v>11</v>
      </c>
      <c r="I45" s="695"/>
      <c r="J45" s="700" t="s">
        <v>83</v>
      </c>
      <c r="K45" s="655" t="s">
        <v>3</v>
      </c>
      <c r="L45" s="656">
        <v>10</v>
      </c>
      <c r="M45" s="656" t="s">
        <v>551</v>
      </c>
      <c r="N45" s="706">
        <v>15110251</v>
      </c>
      <c r="O45" s="700" t="s">
        <v>476</v>
      </c>
      <c r="P45" s="700"/>
      <c r="Q45" s="658" t="s">
        <v>494</v>
      </c>
      <c r="R45" s="700"/>
    </row>
    <row r="46" spans="1:18" s="644" customFormat="1" ht="24.95" customHeight="1" x14ac:dyDescent="0.25">
      <c r="A46" s="663" t="s">
        <v>574</v>
      </c>
      <c r="B46" s="700" t="s">
        <v>471</v>
      </c>
      <c r="C46" s="700" t="s">
        <v>554</v>
      </c>
      <c r="D46" s="700" t="s">
        <v>575</v>
      </c>
      <c r="E46" s="684" t="s">
        <v>576</v>
      </c>
      <c r="F46" s="655">
        <v>1</v>
      </c>
      <c r="G46" s="700"/>
      <c r="H46" s="700">
        <v>11</v>
      </c>
      <c r="I46" s="695">
        <v>10</v>
      </c>
      <c r="J46" s="700" t="s">
        <v>83</v>
      </c>
      <c r="K46" s="655" t="s">
        <v>10</v>
      </c>
      <c r="L46" s="656">
        <v>20</v>
      </c>
      <c r="M46" s="656" t="s">
        <v>551</v>
      </c>
      <c r="N46" s="706">
        <v>25192843</v>
      </c>
      <c r="O46" s="700" t="s">
        <v>556</v>
      </c>
      <c r="P46" s="700"/>
      <c r="Q46" s="658" t="s">
        <v>557</v>
      </c>
      <c r="R46" s="700"/>
    </row>
    <row r="47" spans="1:18" ht="24.95" customHeight="1" x14ac:dyDescent="0.25">
      <c r="A47" s="663" t="s">
        <v>574</v>
      </c>
      <c r="B47" s="700" t="s">
        <v>471</v>
      </c>
      <c r="C47" s="700" t="s">
        <v>554</v>
      </c>
      <c r="D47" s="700" t="s">
        <v>575</v>
      </c>
      <c r="E47" s="684" t="s">
        <v>576</v>
      </c>
      <c r="F47" s="655">
        <v>1</v>
      </c>
      <c r="G47" s="700"/>
      <c r="H47" s="700">
        <v>11</v>
      </c>
      <c r="I47" s="695">
        <v>10</v>
      </c>
      <c r="J47" s="700" t="s">
        <v>83</v>
      </c>
      <c r="K47" s="655" t="s">
        <v>3</v>
      </c>
      <c r="L47" s="656">
        <v>10</v>
      </c>
      <c r="M47" s="656" t="s">
        <v>551</v>
      </c>
      <c r="N47" s="706">
        <v>26410020</v>
      </c>
      <c r="O47" s="700" t="s">
        <v>556</v>
      </c>
      <c r="P47" s="700"/>
      <c r="Q47" s="658" t="s">
        <v>557</v>
      </c>
      <c r="R47" s="700"/>
    </row>
    <row r="48" spans="1:18" ht="24.95" customHeight="1" x14ac:dyDescent="0.25">
      <c r="A48" s="692"/>
      <c r="B48" s="700" t="s">
        <v>471</v>
      </c>
      <c r="C48" s="700" t="s">
        <v>473</v>
      </c>
      <c r="D48" s="700" t="s">
        <v>559</v>
      </c>
      <c r="E48" s="684" t="s">
        <v>577</v>
      </c>
      <c r="F48" s="692">
        <v>5</v>
      </c>
      <c r="G48" s="700"/>
      <c r="H48" s="700">
        <v>1</v>
      </c>
      <c r="I48" s="695"/>
      <c r="J48" s="700"/>
      <c r="K48" s="655" t="s">
        <v>10</v>
      </c>
      <c r="L48" s="656">
        <v>20</v>
      </c>
      <c r="M48" s="656" t="s">
        <v>542</v>
      </c>
      <c r="N48" s="706">
        <v>7000000</v>
      </c>
      <c r="O48" s="700" t="s">
        <v>476</v>
      </c>
      <c r="P48" s="700"/>
      <c r="Q48" s="661" t="s">
        <v>494</v>
      </c>
      <c r="R48" s="707"/>
    </row>
    <row r="49" spans="1:18" ht="24.95" customHeight="1" x14ac:dyDescent="0.25">
      <c r="A49" s="692" t="s">
        <v>579</v>
      </c>
      <c r="B49" s="700" t="s">
        <v>471</v>
      </c>
      <c r="C49" s="700" t="s">
        <v>473</v>
      </c>
      <c r="D49" s="700" t="s">
        <v>559</v>
      </c>
      <c r="E49" s="684" t="s">
        <v>580</v>
      </c>
      <c r="F49" s="692">
        <v>7</v>
      </c>
      <c r="G49" s="700"/>
      <c r="H49" s="700">
        <v>8</v>
      </c>
      <c r="I49" s="695"/>
      <c r="J49" s="700" t="s">
        <v>154</v>
      </c>
      <c r="K49" s="655" t="s">
        <v>10</v>
      </c>
      <c r="L49" s="656">
        <v>20</v>
      </c>
      <c r="M49" s="656" t="s">
        <v>582</v>
      </c>
      <c r="N49" s="706">
        <v>7000000</v>
      </c>
      <c r="O49" s="700" t="s">
        <v>583</v>
      </c>
      <c r="P49" s="700"/>
      <c r="Q49" s="661" t="s">
        <v>584</v>
      </c>
      <c r="R49" s="700"/>
    </row>
    <row r="50" spans="1:18" ht="24.95" customHeight="1" x14ac:dyDescent="0.25">
      <c r="A50" s="692" t="s">
        <v>579</v>
      </c>
      <c r="B50" s="700" t="s">
        <v>471</v>
      </c>
      <c r="C50" s="700" t="s">
        <v>473</v>
      </c>
      <c r="D50" s="700" t="s">
        <v>559</v>
      </c>
      <c r="E50" s="684" t="s">
        <v>580</v>
      </c>
      <c r="F50" s="692">
        <v>7</v>
      </c>
      <c r="G50" s="700"/>
      <c r="H50" s="700">
        <v>8</v>
      </c>
      <c r="I50" s="695"/>
      <c r="J50" s="700" t="s">
        <v>154</v>
      </c>
      <c r="K50" s="655" t="s">
        <v>10</v>
      </c>
      <c r="L50" s="656">
        <v>20</v>
      </c>
      <c r="M50" s="656" t="s">
        <v>568</v>
      </c>
      <c r="N50" s="706">
        <v>7013857</v>
      </c>
      <c r="O50" s="700" t="s">
        <v>583</v>
      </c>
      <c r="P50" s="700"/>
      <c r="Q50" s="661" t="s">
        <v>584</v>
      </c>
      <c r="R50" s="700"/>
    </row>
    <row r="51" spans="1:18" ht="24.95" customHeight="1" x14ac:dyDescent="0.25">
      <c r="A51" s="664" t="s">
        <v>585</v>
      </c>
      <c r="B51" s="700" t="s">
        <v>471</v>
      </c>
      <c r="C51" s="700" t="s">
        <v>473</v>
      </c>
      <c r="D51" s="700" t="s">
        <v>559</v>
      </c>
      <c r="E51" s="684" t="s">
        <v>586</v>
      </c>
      <c r="F51" s="692">
        <v>5</v>
      </c>
      <c r="G51" s="700"/>
      <c r="H51" s="700">
        <v>7</v>
      </c>
      <c r="I51" s="695"/>
      <c r="J51" s="700" t="s">
        <v>154</v>
      </c>
      <c r="K51" s="655" t="s">
        <v>10</v>
      </c>
      <c r="L51" s="656">
        <v>20</v>
      </c>
      <c r="M51" s="656" t="s">
        <v>561</v>
      </c>
      <c r="N51" s="706">
        <v>14357000</v>
      </c>
      <c r="O51" s="700" t="s">
        <v>583</v>
      </c>
      <c r="P51" s="700"/>
      <c r="Q51" s="661" t="s">
        <v>584</v>
      </c>
      <c r="R51" s="700"/>
    </row>
    <row r="52" spans="1:18" ht="24.95" customHeight="1" x14ac:dyDescent="0.25">
      <c r="A52" s="663">
        <v>41113038</v>
      </c>
      <c r="B52" s="700" t="s">
        <v>471</v>
      </c>
      <c r="C52" s="700" t="s">
        <v>473</v>
      </c>
      <c r="D52" s="700" t="s">
        <v>559</v>
      </c>
      <c r="E52" s="684" t="s">
        <v>587</v>
      </c>
      <c r="F52" s="692">
        <v>10</v>
      </c>
      <c r="G52" s="700"/>
      <c r="H52" s="700">
        <v>7</v>
      </c>
      <c r="I52" s="695"/>
      <c r="J52" s="700" t="s">
        <v>154</v>
      </c>
      <c r="K52" s="655" t="s">
        <v>10</v>
      </c>
      <c r="L52" s="656">
        <v>20</v>
      </c>
      <c r="M52" s="656" t="s">
        <v>588</v>
      </c>
      <c r="N52" s="706">
        <v>500000</v>
      </c>
      <c r="O52" s="700" t="s">
        <v>583</v>
      </c>
      <c r="P52" s="700"/>
      <c r="Q52" s="658" t="s">
        <v>584</v>
      </c>
      <c r="R52" s="700"/>
    </row>
    <row r="53" spans="1:18" ht="24.95" customHeight="1" x14ac:dyDescent="0.25">
      <c r="A53" s="692"/>
      <c r="B53" s="700" t="s">
        <v>471</v>
      </c>
      <c r="C53" s="700" t="s">
        <v>473</v>
      </c>
      <c r="D53" s="700" t="s">
        <v>549</v>
      </c>
      <c r="E53" s="684" t="s">
        <v>589</v>
      </c>
      <c r="F53" s="692">
        <v>2</v>
      </c>
      <c r="G53" s="700"/>
      <c r="H53" s="700">
        <v>11</v>
      </c>
      <c r="I53" s="695"/>
      <c r="J53" s="700"/>
      <c r="K53" s="655" t="s">
        <v>3</v>
      </c>
      <c r="L53" s="656">
        <v>10</v>
      </c>
      <c r="M53" s="656" t="s">
        <v>591</v>
      </c>
      <c r="N53" s="706">
        <v>7834750</v>
      </c>
      <c r="O53" s="700" t="s">
        <v>552</v>
      </c>
      <c r="P53" s="700"/>
      <c r="Q53" s="658" t="s">
        <v>553</v>
      </c>
      <c r="R53" s="700"/>
    </row>
    <row r="54" spans="1:18" ht="24.95" customHeight="1" x14ac:dyDescent="0.25">
      <c r="A54" s="692">
        <v>44122003</v>
      </c>
      <c r="B54" s="700" t="s">
        <v>471</v>
      </c>
      <c r="C54" s="684" t="s">
        <v>288</v>
      </c>
      <c r="D54" s="684" t="s">
        <v>592</v>
      </c>
      <c r="E54" s="684" t="s">
        <v>593</v>
      </c>
      <c r="F54" s="692">
        <v>5</v>
      </c>
      <c r="G54" s="700"/>
      <c r="H54" s="700">
        <v>1</v>
      </c>
      <c r="I54" s="695"/>
      <c r="J54" s="700" t="s">
        <v>154</v>
      </c>
      <c r="K54" s="655" t="s">
        <v>10</v>
      </c>
      <c r="L54" s="656">
        <v>20</v>
      </c>
      <c r="M54" s="656" t="s">
        <v>594</v>
      </c>
      <c r="N54" s="706">
        <v>1000000</v>
      </c>
      <c r="O54" s="700" t="s">
        <v>595</v>
      </c>
      <c r="P54" s="700"/>
      <c r="Q54" s="658" t="s">
        <v>596</v>
      </c>
      <c r="R54" s="700"/>
    </row>
    <row r="55" spans="1:18" ht="24.95" customHeight="1" x14ac:dyDescent="0.25">
      <c r="A55" s="692">
        <v>78102200</v>
      </c>
      <c r="B55" s="700" t="s">
        <v>471</v>
      </c>
      <c r="C55" s="684" t="s">
        <v>288</v>
      </c>
      <c r="D55" s="684" t="s">
        <v>592</v>
      </c>
      <c r="E55" s="684" t="s">
        <v>597</v>
      </c>
      <c r="F55" s="655">
        <v>1</v>
      </c>
      <c r="G55" s="700"/>
      <c r="H55" s="700">
        <v>11</v>
      </c>
      <c r="I55" s="695">
        <v>20</v>
      </c>
      <c r="J55" s="700" t="s">
        <v>83</v>
      </c>
      <c r="K55" s="655" t="s">
        <v>3</v>
      </c>
      <c r="L55" s="656">
        <v>10</v>
      </c>
      <c r="M55" s="656" t="s">
        <v>598</v>
      </c>
      <c r="N55" s="706">
        <v>3500000</v>
      </c>
      <c r="O55" s="700" t="s">
        <v>595</v>
      </c>
      <c r="P55" s="700"/>
      <c r="Q55" s="658" t="s">
        <v>596</v>
      </c>
      <c r="R55" s="700"/>
    </row>
    <row r="56" spans="1:18" ht="24.95" customHeight="1" x14ac:dyDescent="0.25">
      <c r="A56" s="692">
        <v>80111601</v>
      </c>
      <c r="B56" s="700" t="s">
        <v>471</v>
      </c>
      <c r="C56" s="684" t="s">
        <v>288</v>
      </c>
      <c r="D56" s="684" t="s">
        <v>592</v>
      </c>
      <c r="E56" s="684" t="s">
        <v>599</v>
      </c>
      <c r="F56" s="655">
        <v>1</v>
      </c>
      <c r="G56" s="700"/>
      <c r="H56" s="700">
        <v>11</v>
      </c>
      <c r="I56" s="695"/>
      <c r="J56" s="700" t="s">
        <v>83</v>
      </c>
      <c r="K56" s="655" t="s">
        <v>10</v>
      </c>
      <c r="L56" s="656">
        <v>20</v>
      </c>
      <c r="M56" s="656" t="s">
        <v>600</v>
      </c>
      <c r="N56" s="706">
        <v>16703828</v>
      </c>
      <c r="O56" s="700" t="s">
        <v>595</v>
      </c>
      <c r="P56" s="700"/>
      <c r="Q56" s="658" t="s">
        <v>596</v>
      </c>
      <c r="R56" s="700"/>
    </row>
    <row r="57" spans="1:18" ht="24.95" customHeight="1" x14ac:dyDescent="0.25">
      <c r="A57" s="692">
        <v>80111601</v>
      </c>
      <c r="B57" s="700" t="s">
        <v>471</v>
      </c>
      <c r="C57" s="684" t="s">
        <v>288</v>
      </c>
      <c r="D57" s="684" t="s">
        <v>592</v>
      </c>
      <c r="E57" s="684" t="s">
        <v>599</v>
      </c>
      <c r="F57" s="655">
        <v>1</v>
      </c>
      <c r="G57" s="700"/>
      <c r="H57" s="700">
        <v>11</v>
      </c>
      <c r="I57" s="695"/>
      <c r="J57" s="700" t="s">
        <v>83</v>
      </c>
      <c r="K57" s="655" t="s">
        <v>3</v>
      </c>
      <c r="L57" s="656">
        <v>10</v>
      </c>
      <c r="M57" s="656" t="s">
        <v>600</v>
      </c>
      <c r="N57" s="706">
        <v>11135885</v>
      </c>
      <c r="O57" s="700" t="s">
        <v>595</v>
      </c>
      <c r="P57" s="700"/>
      <c r="Q57" s="658" t="s">
        <v>596</v>
      </c>
      <c r="R57" s="700"/>
    </row>
    <row r="58" spans="1:18" ht="24.95" customHeight="1" x14ac:dyDescent="0.25">
      <c r="A58" s="692"/>
      <c r="B58" s="700" t="s">
        <v>471</v>
      </c>
      <c r="C58" s="684" t="s">
        <v>288</v>
      </c>
      <c r="D58" s="684" t="s">
        <v>592</v>
      </c>
      <c r="E58" s="682" t="s">
        <v>601</v>
      </c>
      <c r="F58" s="692">
        <v>7</v>
      </c>
      <c r="G58" s="700"/>
      <c r="H58" s="700">
        <v>9</v>
      </c>
      <c r="I58" s="695"/>
      <c r="J58" s="700" t="s">
        <v>151</v>
      </c>
      <c r="K58" s="655" t="s">
        <v>10</v>
      </c>
      <c r="L58" s="656">
        <v>20</v>
      </c>
      <c r="M58" s="656" t="s">
        <v>602</v>
      </c>
      <c r="N58" s="706">
        <v>39780079</v>
      </c>
      <c r="O58" s="700" t="s">
        <v>595</v>
      </c>
      <c r="P58" s="700"/>
      <c r="Q58" s="658" t="s">
        <v>596</v>
      </c>
      <c r="R58" s="700"/>
    </row>
    <row r="59" spans="1:18" ht="24.95" customHeight="1" x14ac:dyDescent="0.25">
      <c r="A59" s="692"/>
      <c r="B59" s="700" t="s">
        <v>471</v>
      </c>
      <c r="C59" s="684" t="s">
        <v>288</v>
      </c>
      <c r="D59" s="684" t="s">
        <v>592</v>
      </c>
      <c r="E59" s="682" t="s">
        <v>603</v>
      </c>
      <c r="F59" s="692">
        <v>8</v>
      </c>
      <c r="G59" s="700"/>
      <c r="H59" s="700">
        <v>2</v>
      </c>
      <c r="I59" s="695"/>
      <c r="J59" s="700" t="s">
        <v>154</v>
      </c>
      <c r="K59" s="655" t="s">
        <v>10</v>
      </c>
      <c r="L59" s="656">
        <v>20</v>
      </c>
      <c r="M59" s="656" t="s">
        <v>604</v>
      </c>
      <c r="N59" s="706">
        <v>5000000</v>
      </c>
      <c r="O59" s="700" t="s">
        <v>595</v>
      </c>
      <c r="P59" s="700"/>
      <c r="Q59" s="658" t="s">
        <v>596</v>
      </c>
      <c r="R59" s="700"/>
    </row>
    <row r="60" spans="1:18" ht="24.95" customHeight="1" x14ac:dyDescent="0.25">
      <c r="A60" s="692"/>
      <c r="B60" s="700" t="s">
        <v>471</v>
      </c>
      <c r="C60" s="684" t="s">
        <v>288</v>
      </c>
      <c r="D60" s="684" t="s">
        <v>592</v>
      </c>
      <c r="E60" s="682" t="s">
        <v>603</v>
      </c>
      <c r="F60" s="692">
        <v>8</v>
      </c>
      <c r="G60" s="700"/>
      <c r="H60" s="700">
        <v>2</v>
      </c>
      <c r="I60" s="695"/>
      <c r="J60" s="700" t="s">
        <v>154</v>
      </c>
      <c r="K60" s="655" t="s">
        <v>10</v>
      </c>
      <c r="L60" s="656">
        <v>20</v>
      </c>
      <c r="M60" s="656" t="s">
        <v>605</v>
      </c>
      <c r="N60" s="706">
        <v>1000000</v>
      </c>
      <c r="O60" s="700" t="s">
        <v>595</v>
      </c>
      <c r="P60" s="700"/>
      <c r="Q60" s="658" t="s">
        <v>596</v>
      </c>
      <c r="R60" s="700"/>
    </row>
    <row r="61" spans="1:18" ht="24.95" customHeight="1" x14ac:dyDescent="0.25">
      <c r="A61" s="692"/>
      <c r="B61" s="700" t="s">
        <v>471</v>
      </c>
      <c r="C61" s="684" t="s">
        <v>288</v>
      </c>
      <c r="D61" s="684" t="s">
        <v>592</v>
      </c>
      <c r="E61" s="682" t="s">
        <v>606</v>
      </c>
      <c r="F61" s="692">
        <v>2</v>
      </c>
      <c r="G61" s="700"/>
      <c r="H61" s="700">
        <v>1</v>
      </c>
      <c r="I61" s="695"/>
      <c r="J61" s="700" t="s">
        <v>154</v>
      </c>
      <c r="K61" s="655" t="s">
        <v>10</v>
      </c>
      <c r="L61" s="656">
        <v>20</v>
      </c>
      <c r="M61" s="656" t="s">
        <v>594</v>
      </c>
      <c r="N61" s="706">
        <v>1000000</v>
      </c>
      <c r="O61" s="700" t="s">
        <v>595</v>
      </c>
      <c r="P61" s="700"/>
      <c r="Q61" s="658" t="s">
        <v>596</v>
      </c>
      <c r="R61" s="700"/>
    </row>
    <row r="62" spans="1:18" ht="24.95" customHeight="1" x14ac:dyDescent="0.25">
      <c r="A62" s="692"/>
      <c r="B62" s="700" t="s">
        <v>471</v>
      </c>
      <c r="C62" s="684" t="s">
        <v>288</v>
      </c>
      <c r="D62" s="684" t="s">
        <v>592</v>
      </c>
      <c r="E62" s="682" t="s">
        <v>607</v>
      </c>
      <c r="F62" s="692">
        <v>7</v>
      </c>
      <c r="G62" s="700"/>
      <c r="H62" s="700">
        <v>2</v>
      </c>
      <c r="I62" s="695"/>
      <c r="J62" s="700" t="s">
        <v>154</v>
      </c>
      <c r="K62" s="655" t="s">
        <v>10</v>
      </c>
      <c r="L62" s="656">
        <v>20</v>
      </c>
      <c r="M62" s="656" t="s">
        <v>608</v>
      </c>
      <c r="N62" s="706">
        <v>7000000</v>
      </c>
      <c r="O62" s="700" t="s">
        <v>595</v>
      </c>
      <c r="P62" s="700"/>
      <c r="Q62" s="658" t="s">
        <v>596</v>
      </c>
      <c r="R62" s="700"/>
    </row>
    <row r="63" spans="1:18" ht="24.95" customHeight="1" x14ac:dyDescent="0.25">
      <c r="A63" s="692"/>
      <c r="B63" s="701" t="s">
        <v>471</v>
      </c>
      <c r="C63" s="682" t="s">
        <v>281</v>
      </c>
      <c r="D63" s="682" t="s">
        <v>609</v>
      </c>
      <c r="E63" s="684" t="s">
        <v>610</v>
      </c>
      <c r="F63" s="655">
        <v>1</v>
      </c>
      <c r="G63" s="700"/>
      <c r="H63" s="695">
        <v>12</v>
      </c>
      <c r="I63" s="695"/>
      <c r="J63" s="700" t="s">
        <v>83</v>
      </c>
      <c r="K63" s="655" t="s">
        <v>3</v>
      </c>
      <c r="L63" s="656">
        <v>10</v>
      </c>
      <c r="M63" s="656" t="s">
        <v>611</v>
      </c>
      <c r="N63" s="706">
        <v>6000000</v>
      </c>
      <c r="O63" s="700" t="s">
        <v>612</v>
      </c>
      <c r="P63" s="700">
        <v>3422121</v>
      </c>
      <c r="Q63" s="658" t="s">
        <v>613</v>
      </c>
      <c r="R63" s="700"/>
    </row>
    <row r="64" spans="1:18" ht="24.95" customHeight="1" x14ac:dyDescent="0.25">
      <c r="A64" s="692"/>
      <c r="B64" s="701" t="s">
        <v>471</v>
      </c>
      <c r="C64" s="682" t="s">
        <v>281</v>
      </c>
      <c r="D64" s="682" t="s">
        <v>609</v>
      </c>
      <c r="E64" s="684" t="s">
        <v>614</v>
      </c>
      <c r="F64" s="655">
        <v>1</v>
      </c>
      <c r="G64" s="700"/>
      <c r="H64" s="695">
        <v>12</v>
      </c>
      <c r="I64" s="695"/>
      <c r="J64" s="700" t="s">
        <v>83</v>
      </c>
      <c r="K64" s="655" t="s">
        <v>3</v>
      </c>
      <c r="L64" s="656">
        <v>10</v>
      </c>
      <c r="M64" s="656" t="s">
        <v>615</v>
      </c>
      <c r="N64" s="706">
        <v>2391147</v>
      </c>
      <c r="O64" s="700" t="s">
        <v>612</v>
      </c>
      <c r="P64" s="700">
        <v>3422121</v>
      </c>
      <c r="Q64" s="658" t="s">
        <v>613</v>
      </c>
      <c r="R64" s="700"/>
    </row>
    <row r="65" spans="1:18" ht="24.95" customHeight="1" x14ac:dyDescent="0.25">
      <c r="A65" s="692"/>
      <c r="B65" s="701" t="s">
        <v>471</v>
      </c>
      <c r="C65" s="682" t="s">
        <v>281</v>
      </c>
      <c r="D65" s="682" t="s">
        <v>609</v>
      </c>
      <c r="E65" s="684" t="s">
        <v>616</v>
      </c>
      <c r="F65" s="655">
        <v>1</v>
      </c>
      <c r="G65" s="700"/>
      <c r="H65" s="695">
        <v>12</v>
      </c>
      <c r="I65" s="695"/>
      <c r="J65" s="700" t="s">
        <v>83</v>
      </c>
      <c r="K65" s="655" t="s">
        <v>3</v>
      </c>
      <c r="L65" s="656">
        <v>10</v>
      </c>
      <c r="M65" s="656" t="s">
        <v>611</v>
      </c>
      <c r="N65" s="706">
        <v>105000000</v>
      </c>
      <c r="O65" s="700" t="s">
        <v>612</v>
      </c>
      <c r="P65" s="700">
        <v>3422121</v>
      </c>
      <c r="Q65" s="658" t="s">
        <v>613</v>
      </c>
      <c r="R65" s="700"/>
    </row>
    <row r="66" spans="1:18" ht="24.95" customHeight="1" x14ac:dyDescent="0.25">
      <c r="A66" s="692"/>
      <c r="B66" s="701" t="s">
        <v>471</v>
      </c>
      <c r="C66" s="682" t="s">
        <v>281</v>
      </c>
      <c r="D66" s="682" t="s">
        <v>609</v>
      </c>
      <c r="E66" s="682" t="s">
        <v>617</v>
      </c>
      <c r="F66" s="655">
        <v>1</v>
      </c>
      <c r="G66" s="700"/>
      <c r="H66" s="695">
        <v>12</v>
      </c>
      <c r="I66" s="695"/>
      <c r="J66" s="700" t="s">
        <v>83</v>
      </c>
      <c r="K66" s="655" t="s">
        <v>3</v>
      </c>
      <c r="L66" s="656">
        <v>10</v>
      </c>
      <c r="M66" s="656" t="s">
        <v>600</v>
      </c>
      <c r="N66" s="706">
        <v>2400000</v>
      </c>
      <c r="O66" s="700" t="s">
        <v>612</v>
      </c>
      <c r="P66" s="700">
        <v>3422121</v>
      </c>
      <c r="Q66" s="658" t="s">
        <v>613</v>
      </c>
      <c r="R66" s="700"/>
    </row>
    <row r="67" spans="1:18" ht="24.95" customHeight="1" x14ac:dyDescent="0.25">
      <c r="A67" s="692"/>
      <c r="B67" s="701" t="s">
        <v>471</v>
      </c>
      <c r="C67" s="682" t="s">
        <v>281</v>
      </c>
      <c r="D67" s="682" t="s">
        <v>609</v>
      </c>
      <c r="E67" s="682" t="s">
        <v>618</v>
      </c>
      <c r="F67" s="655">
        <v>1</v>
      </c>
      <c r="G67" s="700"/>
      <c r="H67" s="695">
        <v>12</v>
      </c>
      <c r="I67" s="695"/>
      <c r="J67" s="700" t="s">
        <v>83</v>
      </c>
      <c r="K67" s="655" t="s">
        <v>3</v>
      </c>
      <c r="L67" s="656">
        <v>10</v>
      </c>
      <c r="M67" s="656" t="s">
        <v>600</v>
      </c>
      <c r="N67" s="706">
        <v>41342439</v>
      </c>
      <c r="O67" s="700" t="s">
        <v>612</v>
      </c>
      <c r="P67" s="700">
        <v>3422121</v>
      </c>
      <c r="Q67" s="658" t="s">
        <v>613</v>
      </c>
      <c r="R67" s="700"/>
    </row>
    <row r="68" spans="1:18" ht="24.95" customHeight="1" x14ac:dyDescent="0.25">
      <c r="A68" s="692">
        <v>20102301</v>
      </c>
      <c r="B68" s="701" t="s">
        <v>471</v>
      </c>
      <c r="C68" s="682" t="s">
        <v>281</v>
      </c>
      <c r="D68" s="682" t="s">
        <v>619</v>
      </c>
      <c r="E68" s="682" t="s">
        <v>620</v>
      </c>
      <c r="F68" s="655">
        <v>1</v>
      </c>
      <c r="G68" s="700"/>
      <c r="H68" s="695">
        <v>10</v>
      </c>
      <c r="I68" s="695"/>
      <c r="J68" s="700" t="s">
        <v>318</v>
      </c>
      <c r="K68" s="655" t="s">
        <v>3</v>
      </c>
      <c r="L68" s="656">
        <v>10</v>
      </c>
      <c r="M68" s="656" t="s">
        <v>621</v>
      </c>
      <c r="N68" s="706">
        <v>9977800</v>
      </c>
      <c r="O68" s="700" t="s">
        <v>612</v>
      </c>
      <c r="P68" s="700">
        <v>3422121</v>
      </c>
      <c r="Q68" s="662" t="s">
        <v>613</v>
      </c>
      <c r="R68" s="700" t="s">
        <v>622</v>
      </c>
    </row>
    <row r="69" spans="1:18" ht="24.95" customHeight="1" x14ac:dyDescent="0.25">
      <c r="A69" s="692">
        <v>20102301</v>
      </c>
      <c r="B69" s="701" t="s">
        <v>471</v>
      </c>
      <c r="C69" s="682" t="s">
        <v>281</v>
      </c>
      <c r="D69" s="682" t="s">
        <v>619</v>
      </c>
      <c r="E69" s="682" t="s">
        <v>623</v>
      </c>
      <c r="F69" s="692">
        <v>2</v>
      </c>
      <c r="G69" s="700"/>
      <c r="H69" s="695">
        <v>10</v>
      </c>
      <c r="I69" s="695"/>
      <c r="J69" s="700" t="s">
        <v>318</v>
      </c>
      <c r="K69" s="655" t="s">
        <v>3</v>
      </c>
      <c r="L69" s="656">
        <v>10</v>
      </c>
      <c r="M69" s="656" t="s">
        <v>621</v>
      </c>
      <c r="N69" s="706">
        <v>35000000</v>
      </c>
      <c r="O69" s="700" t="s">
        <v>612</v>
      </c>
      <c r="P69" s="700">
        <v>3422121</v>
      </c>
      <c r="Q69" s="662" t="s">
        <v>613</v>
      </c>
      <c r="R69" s="700"/>
    </row>
    <row r="70" spans="1:18" ht="24.95" customHeight="1" x14ac:dyDescent="0.25">
      <c r="A70" s="692">
        <v>20102301</v>
      </c>
      <c r="B70" s="701" t="s">
        <v>471</v>
      </c>
      <c r="C70" s="682" t="s">
        <v>281</v>
      </c>
      <c r="D70" s="682" t="s">
        <v>619</v>
      </c>
      <c r="E70" s="682" t="s">
        <v>623</v>
      </c>
      <c r="F70" s="692">
        <v>2</v>
      </c>
      <c r="G70" s="700"/>
      <c r="H70" s="695">
        <v>10</v>
      </c>
      <c r="I70" s="695"/>
      <c r="J70" s="700" t="s">
        <v>318</v>
      </c>
      <c r="K70" s="655" t="s">
        <v>10</v>
      </c>
      <c r="L70" s="656">
        <v>20</v>
      </c>
      <c r="M70" s="656" t="s">
        <v>621</v>
      </c>
      <c r="N70" s="706">
        <v>170022200</v>
      </c>
      <c r="O70" s="700" t="s">
        <v>612</v>
      </c>
      <c r="P70" s="700">
        <v>3422121</v>
      </c>
      <c r="Q70" s="662" t="s">
        <v>613</v>
      </c>
      <c r="R70" s="700"/>
    </row>
    <row r="71" spans="1:18" ht="24.95" customHeight="1" x14ac:dyDescent="0.25">
      <c r="A71" s="692"/>
      <c r="B71" s="701" t="s">
        <v>471</v>
      </c>
      <c r="C71" s="682" t="s">
        <v>281</v>
      </c>
      <c r="D71" s="682" t="s">
        <v>609</v>
      </c>
      <c r="E71" s="682" t="s">
        <v>624</v>
      </c>
      <c r="F71" s="655">
        <v>1</v>
      </c>
      <c r="G71" s="700"/>
      <c r="H71" s="695">
        <v>12</v>
      </c>
      <c r="I71" s="695"/>
      <c r="J71" s="700" t="s">
        <v>318</v>
      </c>
      <c r="K71" s="655" t="s">
        <v>3</v>
      </c>
      <c r="L71" s="656">
        <v>10</v>
      </c>
      <c r="M71" s="656" t="s">
        <v>542</v>
      </c>
      <c r="N71" s="706">
        <v>30749674</v>
      </c>
      <c r="O71" s="700" t="s">
        <v>612</v>
      </c>
      <c r="P71" s="700">
        <v>3422121</v>
      </c>
      <c r="Q71" s="662" t="s">
        <v>613</v>
      </c>
      <c r="R71" s="700"/>
    </row>
    <row r="72" spans="1:18" ht="24.95" customHeight="1" x14ac:dyDescent="0.25">
      <c r="A72" s="692"/>
      <c r="B72" s="701" t="s">
        <v>471</v>
      </c>
      <c r="C72" s="682" t="s">
        <v>281</v>
      </c>
      <c r="D72" s="682" t="s">
        <v>609</v>
      </c>
      <c r="E72" s="682" t="s">
        <v>625</v>
      </c>
      <c r="F72" s="692">
        <v>3</v>
      </c>
      <c r="G72" s="700"/>
      <c r="H72" s="695">
        <v>12</v>
      </c>
      <c r="I72" s="695"/>
      <c r="J72" s="700" t="s">
        <v>318</v>
      </c>
      <c r="K72" s="655" t="s">
        <v>3</v>
      </c>
      <c r="L72" s="656">
        <v>10</v>
      </c>
      <c r="M72" s="656" t="s">
        <v>542</v>
      </c>
      <c r="N72" s="706">
        <v>27342900</v>
      </c>
      <c r="O72" s="700" t="s">
        <v>612</v>
      </c>
      <c r="P72" s="700">
        <v>3422121</v>
      </c>
      <c r="Q72" s="662" t="s">
        <v>613</v>
      </c>
      <c r="R72" s="700"/>
    </row>
    <row r="73" spans="1:18" ht="24.95" customHeight="1" x14ac:dyDescent="0.25">
      <c r="A73" s="692"/>
      <c r="B73" s="701" t="s">
        <v>471</v>
      </c>
      <c r="C73" s="682" t="s">
        <v>281</v>
      </c>
      <c r="D73" s="682" t="s">
        <v>609</v>
      </c>
      <c r="E73" s="682" t="s">
        <v>625</v>
      </c>
      <c r="F73" s="692">
        <v>3</v>
      </c>
      <c r="G73" s="700"/>
      <c r="H73" s="695">
        <v>12</v>
      </c>
      <c r="I73" s="695"/>
      <c r="J73" s="700" t="s">
        <v>318</v>
      </c>
      <c r="K73" s="655" t="s">
        <v>10</v>
      </c>
      <c r="L73" s="656">
        <v>20</v>
      </c>
      <c r="M73" s="656" t="s">
        <v>542</v>
      </c>
      <c r="N73" s="706">
        <v>110188999</v>
      </c>
      <c r="O73" s="700" t="s">
        <v>612</v>
      </c>
      <c r="P73" s="700">
        <v>3422121</v>
      </c>
      <c r="Q73" s="662" t="s">
        <v>613</v>
      </c>
      <c r="R73" s="700"/>
    </row>
    <row r="74" spans="1:18" ht="24.95" customHeight="1" x14ac:dyDescent="0.25">
      <c r="A74" s="692"/>
      <c r="B74" s="701" t="s">
        <v>471</v>
      </c>
      <c r="C74" s="682" t="s">
        <v>281</v>
      </c>
      <c r="D74" s="682" t="s">
        <v>609</v>
      </c>
      <c r="E74" s="682" t="s">
        <v>626</v>
      </c>
      <c r="F74" s="655">
        <v>1</v>
      </c>
      <c r="G74" s="700"/>
      <c r="H74" s="695">
        <v>8</v>
      </c>
      <c r="I74" s="695"/>
      <c r="J74" s="700" t="s">
        <v>627</v>
      </c>
      <c r="K74" s="655" t="s">
        <v>3</v>
      </c>
      <c r="L74" s="656">
        <v>10</v>
      </c>
      <c r="M74" s="656" t="s">
        <v>628</v>
      </c>
      <c r="N74" s="706">
        <v>82090132</v>
      </c>
      <c r="O74" s="700" t="s">
        <v>612</v>
      </c>
      <c r="P74" s="700">
        <v>3422121</v>
      </c>
      <c r="Q74" s="658" t="s">
        <v>613</v>
      </c>
      <c r="R74" s="700"/>
    </row>
    <row r="75" spans="1:18" ht="24.95" customHeight="1" x14ac:dyDescent="0.25">
      <c r="A75" s="692"/>
      <c r="B75" s="701" t="s">
        <v>471</v>
      </c>
      <c r="C75" s="682" t="s">
        <v>281</v>
      </c>
      <c r="D75" s="682" t="s">
        <v>609</v>
      </c>
      <c r="E75" s="682" t="s">
        <v>626</v>
      </c>
      <c r="F75" s="655">
        <v>1</v>
      </c>
      <c r="G75" s="700"/>
      <c r="H75" s="695">
        <v>8</v>
      </c>
      <c r="I75" s="695"/>
      <c r="J75" s="700" t="s">
        <v>627</v>
      </c>
      <c r="K75" s="655" t="s">
        <v>3</v>
      </c>
      <c r="L75" s="656">
        <v>10</v>
      </c>
      <c r="M75" s="656" t="s">
        <v>628</v>
      </c>
      <c r="N75" s="706">
        <v>62023470</v>
      </c>
      <c r="O75" s="700" t="s">
        <v>612</v>
      </c>
      <c r="P75" s="700">
        <v>3422121</v>
      </c>
      <c r="Q75" s="658" t="s">
        <v>613</v>
      </c>
      <c r="R75" s="700" t="s">
        <v>629</v>
      </c>
    </row>
    <row r="76" spans="1:18" ht="24.95" customHeight="1" x14ac:dyDescent="0.25">
      <c r="A76" s="692" t="s">
        <v>630</v>
      </c>
      <c r="B76" s="701" t="s">
        <v>471</v>
      </c>
      <c r="C76" s="682" t="s">
        <v>281</v>
      </c>
      <c r="D76" s="682" t="s">
        <v>609</v>
      </c>
      <c r="E76" s="682" t="s">
        <v>631</v>
      </c>
      <c r="F76" s="655">
        <v>1</v>
      </c>
      <c r="G76" s="700"/>
      <c r="H76" s="695">
        <v>6</v>
      </c>
      <c r="I76" s="695"/>
      <c r="J76" s="700" t="s">
        <v>154</v>
      </c>
      <c r="K76" s="655" t="s">
        <v>3</v>
      </c>
      <c r="L76" s="656">
        <v>10</v>
      </c>
      <c r="M76" s="656" t="s">
        <v>605</v>
      </c>
      <c r="N76" s="706">
        <v>6500000</v>
      </c>
      <c r="O76" s="700"/>
      <c r="P76" s="700"/>
      <c r="Q76" s="658"/>
      <c r="R76" s="700"/>
    </row>
    <row r="77" spans="1:18" ht="24.95" customHeight="1" x14ac:dyDescent="0.25">
      <c r="A77" s="692" t="s">
        <v>630</v>
      </c>
      <c r="B77" s="701" t="s">
        <v>471</v>
      </c>
      <c r="C77" s="682" t="s">
        <v>281</v>
      </c>
      <c r="D77" s="682" t="s">
        <v>609</v>
      </c>
      <c r="E77" s="682" t="s">
        <v>631</v>
      </c>
      <c r="F77" s="655">
        <v>1</v>
      </c>
      <c r="G77" s="700"/>
      <c r="H77" s="695">
        <v>6</v>
      </c>
      <c r="I77" s="695"/>
      <c r="J77" s="700" t="s">
        <v>154</v>
      </c>
      <c r="K77" s="655" t="s">
        <v>10</v>
      </c>
      <c r="L77" s="656"/>
      <c r="M77" s="656" t="s">
        <v>605</v>
      </c>
      <c r="N77" s="706">
        <v>236006</v>
      </c>
      <c r="O77" s="700" t="s">
        <v>632</v>
      </c>
      <c r="P77" s="700">
        <v>3422121</v>
      </c>
      <c r="Q77" s="662" t="s">
        <v>613</v>
      </c>
      <c r="R77" s="700"/>
    </row>
    <row r="78" spans="1:18" ht="24.95" customHeight="1" x14ac:dyDescent="0.25">
      <c r="A78" s="692"/>
      <c r="B78" s="701" t="s">
        <v>471</v>
      </c>
      <c r="C78" s="682" t="s">
        <v>281</v>
      </c>
      <c r="D78" s="682" t="s">
        <v>609</v>
      </c>
      <c r="E78" s="682" t="s">
        <v>633</v>
      </c>
      <c r="F78" s="655">
        <v>1</v>
      </c>
      <c r="G78" s="692"/>
      <c r="H78" s="695">
        <v>8</v>
      </c>
      <c r="I78" s="695"/>
      <c r="J78" s="701" t="s">
        <v>627</v>
      </c>
      <c r="K78" s="655" t="s">
        <v>3</v>
      </c>
      <c r="L78" s="656">
        <v>10</v>
      </c>
      <c r="M78" s="656" t="s">
        <v>542</v>
      </c>
      <c r="N78" s="706">
        <v>157112832</v>
      </c>
      <c r="O78" s="700" t="s">
        <v>634</v>
      </c>
      <c r="P78" s="700">
        <v>3422121</v>
      </c>
      <c r="Q78" s="662" t="s">
        <v>613</v>
      </c>
      <c r="R78" s="700" t="s">
        <v>635</v>
      </c>
    </row>
    <row r="79" spans="1:18" ht="24.95" customHeight="1" x14ac:dyDescent="0.25">
      <c r="A79" s="692"/>
      <c r="B79" s="701" t="s">
        <v>471</v>
      </c>
      <c r="C79" s="682" t="s">
        <v>281</v>
      </c>
      <c r="D79" s="682" t="s">
        <v>609</v>
      </c>
      <c r="E79" s="682" t="s">
        <v>636</v>
      </c>
      <c r="F79" s="692">
        <v>5</v>
      </c>
      <c r="G79" s="692"/>
      <c r="H79" s="695">
        <v>8</v>
      </c>
      <c r="I79" s="695"/>
      <c r="J79" s="701" t="s">
        <v>627</v>
      </c>
      <c r="K79" s="655" t="s">
        <v>3</v>
      </c>
      <c r="L79" s="656">
        <v>10</v>
      </c>
      <c r="M79" s="656" t="s">
        <v>542</v>
      </c>
      <c r="N79" s="706">
        <v>70962164</v>
      </c>
      <c r="O79" s="700" t="s">
        <v>634</v>
      </c>
      <c r="P79" s="700">
        <v>3422121</v>
      </c>
      <c r="Q79" s="662" t="s">
        <v>613</v>
      </c>
      <c r="R79" s="700"/>
    </row>
    <row r="80" spans="1:18" ht="24.95" customHeight="1" x14ac:dyDescent="0.25">
      <c r="A80" s="692"/>
      <c r="B80" s="701" t="s">
        <v>471</v>
      </c>
      <c r="C80" s="682" t="s">
        <v>281</v>
      </c>
      <c r="D80" s="682" t="s">
        <v>609</v>
      </c>
      <c r="E80" s="682" t="s">
        <v>636</v>
      </c>
      <c r="F80" s="692">
        <v>5</v>
      </c>
      <c r="G80" s="692"/>
      <c r="H80" s="695">
        <v>8</v>
      </c>
      <c r="I80" s="695"/>
      <c r="J80" s="701" t="s">
        <v>627</v>
      </c>
      <c r="K80" s="655" t="s">
        <v>10</v>
      </c>
      <c r="L80" s="656">
        <v>20</v>
      </c>
      <c r="M80" s="656" t="s">
        <v>542</v>
      </c>
      <c r="N80" s="706">
        <v>291273735</v>
      </c>
      <c r="O80" s="700" t="s">
        <v>634</v>
      </c>
      <c r="P80" s="700">
        <v>3422121</v>
      </c>
      <c r="Q80" s="662" t="s">
        <v>613</v>
      </c>
      <c r="R80" s="700"/>
    </row>
    <row r="81" spans="1:18" ht="24.95" customHeight="1" x14ac:dyDescent="0.25">
      <c r="A81" s="692">
        <v>80111617</v>
      </c>
      <c r="B81" s="701" t="s">
        <v>471</v>
      </c>
      <c r="C81" s="682" t="s">
        <v>281</v>
      </c>
      <c r="D81" s="682" t="s">
        <v>609</v>
      </c>
      <c r="E81" s="682" t="s">
        <v>637</v>
      </c>
      <c r="F81" s="655">
        <v>1</v>
      </c>
      <c r="G81" s="700"/>
      <c r="H81" s="695">
        <v>6</v>
      </c>
      <c r="I81" s="695"/>
      <c r="J81" s="700" t="s">
        <v>83</v>
      </c>
      <c r="K81" s="655" t="s">
        <v>10</v>
      </c>
      <c r="L81" s="656">
        <v>20</v>
      </c>
      <c r="M81" s="656" t="s">
        <v>551</v>
      </c>
      <c r="N81" s="706">
        <v>34755084</v>
      </c>
      <c r="O81" s="700" t="s">
        <v>638</v>
      </c>
      <c r="P81" s="700">
        <v>3422121</v>
      </c>
      <c r="Q81" s="46" t="s">
        <v>285</v>
      </c>
      <c r="R81" s="684"/>
    </row>
    <row r="82" spans="1:18" ht="24.95" customHeight="1" x14ac:dyDescent="0.25">
      <c r="A82" s="692">
        <v>80111617</v>
      </c>
      <c r="B82" s="701" t="s">
        <v>471</v>
      </c>
      <c r="C82" s="682" t="s">
        <v>281</v>
      </c>
      <c r="D82" s="682" t="s">
        <v>609</v>
      </c>
      <c r="E82" s="682" t="s">
        <v>637</v>
      </c>
      <c r="F82" s="655">
        <v>8</v>
      </c>
      <c r="G82" s="700"/>
      <c r="H82" s="695">
        <v>5</v>
      </c>
      <c r="I82" s="695"/>
      <c r="J82" s="700" t="s">
        <v>83</v>
      </c>
      <c r="K82" s="655" t="s">
        <v>10</v>
      </c>
      <c r="L82" s="656">
        <v>20</v>
      </c>
      <c r="M82" s="656" t="s">
        <v>551</v>
      </c>
      <c r="N82" s="706">
        <v>28962570</v>
      </c>
      <c r="O82" s="700" t="s">
        <v>638</v>
      </c>
      <c r="P82" s="700">
        <v>3422121</v>
      </c>
      <c r="Q82" s="46" t="s">
        <v>285</v>
      </c>
      <c r="R82" s="684"/>
    </row>
    <row r="83" spans="1:18" ht="24.95" customHeight="1" x14ac:dyDescent="0.25">
      <c r="A83" s="692"/>
      <c r="B83" s="701" t="s">
        <v>471</v>
      </c>
      <c r="C83" s="682" t="s">
        <v>281</v>
      </c>
      <c r="D83" s="682" t="s">
        <v>609</v>
      </c>
      <c r="E83" s="682" t="s">
        <v>639</v>
      </c>
      <c r="F83" s="692">
        <v>7</v>
      </c>
      <c r="G83" s="700"/>
      <c r="H83" s="695">
        <v>2</v>
      </c>
      <c r="I83" s="695"/>
      <c r="J83" s="700" t="s">
        <v>151</v>
      </c>
      <c r="K83" s="655" t="s">
        <v>10</v>
      </c>
      <c r="L83" s="656">
        <v>20</v>
      </c>
      <c r="M83" s="656" t="s">
        <v>640</v>
      </c>
      <c r="N83" s="706">
        <v>10000000</v>
      </c>
      <c r="O83" s="700" t="s">
        <v>612</v>
      </c>
      <c r="P83" s="700">
        <v>3422121</v>
      </c>
      <c r="Q83" s="658" t="s">
        <v>613</v>
      </c>
      <c r="R83" s="700"/>
    </row>
    <row r="84" spans="1:18" ht="24.95" customHeight="1" x14ac:dyDescent="0.25">
      <c r="A84" s="692"/>
      <c r="B84" s="701" t="s">
        <v>471</v>
      </c>
      <c r="C84" s="682" t="s">
        <v>281</v>
      </c>
      <c r="D84" s="682" t="s">
        <v>609</v>
      </c>
      <c r="E84" s="682" t="s">
        <v>639</v>
      </c>
      <c r="F84" s="692">
        <v>7</v>
      </c>
      <c r="G84" s="700"/>
      <c r="H84" s="695">
        <v>2</v>
      </c>
      <c r="I84" s="695"/>
      <c r="J84" s="700" t="s">
        <v>151</v>
      </c>
      <c r="K84" s="655" t="s">
        <v>10</v>
      </c>
      <c r="L84" s="656">
        <v>20</v>
      </c>
      <c r="M84" s="656" t="s">
        <v>641</v>
      </c>
      <c r="N84" s="706">
        <v>25000000</v>
      </c>
      <c r="O84" s="700" t="s">
        <v>612</v>
      </c>
      <c r="P84" s="700">
        <v>3422121</v>
      </c>
      <c r="Q84" s="658" t="s">
        <v>613</v>
      </c>
      <c r="R84" s="700"/>
    </row>
    <row r="85" spans="1:18" ht="24.95" customHeight="1" x14ac:dyDescent="0.25">
      <c r="A85" s="692"/>
      <c r="B85" s="701" t="s">
        <v>471</v>
      </c>
      <c r="C85" s="682" t="s">
        <v>281</v>
      </c>
      <c r="D85" s="682" t="s">
        <v>642</v>
      </c>
      <c r="E85" s="682" t="s">
        <v>643</v>
      </c>
      <c r="F85" s="692">
        <v>7</v>
      </c>
      <c r="G85" s="700"/>
      <c r="H85" s="695">
        <v>5</v>
      </c>
      <c r="I85" s="695"/>
      <c r="J85" s="700" t="s">
        <v>151</v>
      </c>
      <c r="K85" s="655" t="s">
        <v>10</v>
      </c>
      <c r="L85" s="656">
        <v>20</v>
      </c>
      <c r="M85" s="656" t="s">
        <v>644</v>
      </c>
      <c r="N85" s="706">
        <v>50000000</v>
      </c>
      <c r="O85" s="700" t="s">
        <v>612</v>
      </c>
      <c r="P85" s="700">
        <v>3422121</v>
      </c>
      <c r="Q85" s="658" t="s">
        <v>613</v>
      </c>
      <c r="R85" s="700"/>
    </row>
    <row r="86" spans="1:18" ht="24.95" customHeight="1" x14ac:dyDescent="0.25">
      <c r="A86" s="692"/>
      <c r="B86" s="701" t="s">
        <v>471</v>
      </c>
      <c r="C86" s="682" t="s">
        <v>281</v>
      </c>
      <c r="D86" s="682" t="s">
        <v>642</v>
      </c>
      <c r="E86" s="682" t="s">
        <v>643</v>
      </c>
      <c r="F86" s="692">
        <v>7</v>
      </c>
      <c r="G86" s="700"/>
      <c r="H86" s="695">
        <v>5</v>
      </c>
      <c r="I86" s="695"/>
      <c r="J86" s="700" t="s">
        <v>151</v>
      </c>
      <c r="K86" s="655" t="s">
        <v>10</v>
      </c>
      <c r="L86" s="656">
        <v>20</v>
      </c>
      <c r="M86" s="656" t="s">
        <v>640</v>
      </c>
      <c r="N86" s="706">
        <v>20000000</v>
      </c>
      <c r="O86" s="700" t="s">
        <v>612</v>
      </c>
      <c r="P86" s="700">
        <v>3422121</v>
      </c>
      <c r="Q86" s="658" t="s">
        <v>613</v>
      </c>
      <c r="R86" s="700"/>
    </row>
    <row r="87" spans="1:18" ht="24.95" customHeight="1" x14ac:dyDescent="0.25">
      <c r="A87" s="692"/>
      <c r="B87" s="701" t="s">
        <v>471</v>
      </c>
      <c r="C87" s="682" t="s">
        <v>281</v>
      </c>
      <c r="D87" s="682" t="s">
        <v>642</v>
      </c>
      <c r="E87" s="682" t="s">
        <v>643</v>
      </c>
      <c r="F87" s="692">
        <v>7</v>
      </c>
      <c r="G87" s="700"/>
      <c r="H87" s="695">
        <v>5</v>
      </c>
      <c r="I87" s="695"/>
      <c r="J87" s="700" t="s">
        <v>151</v>
      </c>
      <c r="K87" s="655" t="s">
        <v>10</v>
      </c>
      <c r="L87" s="656">
        <v>20</v>
      </c>
      <c r="M87" s="656" t="s">
        <v>645</v>
      </c>
      <c r="N87" s="706">
        <v>30000000</v>
      </c>
      <c r="O87" s="700" t="s">
        <v>612</v>
      </c>
      <c r="P87" s="700">
        <v>3422121</v>
      </c>
      <c r="Q87" s="658" t="s">
        <v>613</v>
      </c>
      <c r="R87" s="700"/>
    </row>
    <row r="88" spans="1:18" ht="24.95" customHeight="1" x14ac:dyDescent="0.25">
      <c r="A88" s="692"/>
      <c r="B88" s="701" t="s">
        <v>471</v>
      </c>
      <c r="C88" s="682" t="s">
        <v>281</v>
      </c>
      <c r="D88" s="682" t="s">
        <v>642</v>
      </c>
      <c r="E88" s="682" t="s">
        <v>643</v>
      </c>
      <c r="F88" s="692">
        <v>7</v>
      </c>
      <c r="G88" s="700"/>
      <c r="H88" s="695">
        <v>5</v>
      </c>
      <c r="I88" s="695"/>
      <c r="J88" s="700" t="s">
        <v>151</v>
      </c>
      <c r="K88" s="655" t="s">
        <v>10</v>
      </c>
      <c r="L88" s="656">
        <v>20</v>
      </c>
      <c r="M88" s="656" t="s">
        <v>605</v>
      </c>
      <c r="N88" s="706">
        <v>10000000</v>
      </c>
      <c r="O88" s="700" t="s">
        <v>612</v>
      </c>
      <c r="P88" s="700">
        <v>3422121</v>
      </c>
      <c r="Q88" s="658" t="s">
        <v>613</v>
      </c>
      <c r="R88" s="700"/>
    </row>
    <row r="89" spans="1:18" ht="24.95" customHeight="1" x14ac:dyDescent="0.25">
      <c r="A89" s="692"/>
      <c r="B89" s="701" t="s">
        <v>471</v>
      </c>
      <c r="C89" s="682" t="s">
        <v>281</v>
      </c>
      <c r="D89" s="682" t="s">
        <v>642</v>
      </c>
      <c r="E89" s="682" t="s">
        <v>643</v>
      </c>
      <c r="F89" s="692">
        <v>7</v>
      </c>
      <c r="G89" s="700"/>
      <c r="H89" s="695">
        <v>5</v>
      </c>
      <c r="I89" s="695"/>
      <c r="J89" s="700" t="s">
        <v>151</v>
      </c>
      <c r="K89" s="655" t="s">
        <v>10</v>
      </c>
      <c r="L89" s="656">
        <v>20</v>
      </c>
      <c r="M89" s="656" t="s">
        <v>641</v>
      </c>
      <c r="N89" s="706">
        <v>60000000</v>
      </c>
      <c r="O89" s="700" t="s">
        <v>612</v>
      </c>
      <c r="P89" s="700">
        <v>3422121</v>
      </c>
      <c r="Q89" s="658" t="s">
        <v>613</v>
      </c>
      <c r="R89" s="700"/>
    </row>
    <row r="90" spans="1:18" ht="24.95" customHeight="1" x14ac:dyDescent="0.25">
      <c r="A90" s="692">
        <v>31162800</v>
      </c>
      <c r="B90" s="701" t="s">
        <v>471</v>
      </c>
      <c r="C90" s="682" t="s">
        <v>281</v>
      </c>
      <c r="D90" s="682" t="s">
        <v>609</v>
      </c>
      <c r="E90" s="682" t="s">
        <v>646</v>
      </c>
      <c r="F90" s="692">
        <v>8</v>
      </c>
      <c r="G90" s="692"/>
      <c r="H90" s="695">
        <v>1</v>
      </c>
      <c r="I90" s="695">
        <v>15</v>
      </c>
      <c r="J90" s="692" t="s">
        <v>154</v>
      </c>
      <c r="K90" s="655" t="s">
        <v>10</v>
      </c>
      <c r="L90" s="656">
        <v>20</v>
      </c>
      <c r="M90" s="656" t="s">
        <v>640</v>
      </c>
      <c r="N90" s="706">
        <v>2000000</v>
      </c>
      <c r="O90" s="700" t="s">
        <v>634</v>
      </c>
      <c r="P90" s="700">
        <v>3422121</v>
      </c>
      <c r="Q90" s="662" t="s">
        <v>613</v>
      </c>
      <c r="R90" s="700"/>
    </row>
    <row r="91" spans="1:18" ht="24.95" customHeight="1" x14ac:dyDescent="0.25">
      <c r="A91" s="692">
        <v>31162800</v>
      </c>
      <c r="B91" s="701" t="s">
        <v>471</v>
      </c>
      <c r="C91" s="682" t="s">
        <v>281</v>
      </c>
      <c r="D91" s="682" t="s">
        <v>609</v>
      </c>
      <c r="E91" s="682" t="s">
        <v>646</v>
      </c>
      <c r="F91" s="692">
        <v>8</v>
      </c>
      <c r="G91" s="692"/>
      <c r="H91" s="695">
        <v>1</v>
      </c>
      <c r="I91" s="695">
        <v>15</v>
      </c>
      <c r="J91" s="692" t="s">
        <v>154</v>
      </c>
      <c r="K91" s="655" t="s">
        <v>10</v>
      </c>
      <c r="L91" s="656">
        <v>20</v>
      </c>
      <c r="M91" s="656" t="s">
        <v>647</v>
      </c>
      <c r="N91" s="706">
        <v>2000000</v>
      </c>
      <c r="O91" s="700" t="s">
        <v>634</v>
      </c>
      <c r="P91" s="700">
        <v>3422121</v>
      </c>
      <c r="Q91" s="662" t="s">
        <v>613</v>
      </c>
      <c r="R91" s="700"/>
    </row>
    <row r="92" spans="1:18" ht="24.95" customHeight="1" x14ac:dyDescent="0.25">
      <c r="A92" s="692">
        <v>31162800</v>
      </c>
      <c r="B92" s="701" t="s">
        <v>471</v>
      </c>
      <c r="C92" s="682" t="s">
        <v>281</v>
      </c>
      <c r="D92" s="682" t="s">
        <v>609</v>
      </c>
      <c r="E92" s="682" t="s">
        <v>646</v>
      </c>
      <c r="F92" s="692">
        <v>8</v>
      </c>
      <c r="G92" s="692"/>
      <c r="H92" s="695">
        <v>1</v>
      </c>
      <c r="I92" s="695">
        <v>15</v>
      </c>
      <c r="J92" s="692" t="s">
        <v>154</v>
      </c>
      <c r="K92" s="655" t="s">
        <v>10</v>
      </c>
      <c r="L92" s="656">
        <v>20</v>
      </c>
      <c r="M92" s="656" t="s">
        <v>604</v>
      </c>
      <c r="N92" s="706">
        <v>3500000</v>
      </c>
      <c r="O92" s="700" t="s">
        <v>634</v>
      </c>
      <c r="P92" s="700">
        <v>3422121</v>
      </c>
      <c r="Q92" s="662" t="s">
        <v>613</v>
      </c>
      <c r="R92" s="700"/>
    </row>
    <row r="93" spans="1:18" ht="24.95" customHeight="1" x14ac:dyDescent="0.25">
      <c r="A93" s="692">
        <v>84131501</v>
      </c>
      <c r="B93" s="701" t="s">
        <v>471</v>
      </c>
      <c r="C93" s="682" t="s">
        <v>281</v>
      </c>
      <c r="D93" s="682" t="s">
        <v>609</v>
      </c>
      <c r="E93" s="682" t="s">
        <v>648</v>
      </c>
      <c r="F93" s="692">
        <v>5</v>
      </c>
      <c r="G93" s="700"/>
      <c r="H93" s="695">
        <v>1</v>
      </c>
      <c r="I93" s="695"/>
      <c r="J93" s="700" t="s">
        <v>154</v>
      </c>
      <c r="K93" s="655" t="s">
        <v>3</v>
      </c>
      <c r="L93" s="656">
        <v>10</v>
      </c>
      <c r="M93" s="656" t="s">
        <v>594</v>
      </c>
      <c r="N93" s="706">
        <v>1000000</v>
      </c>
      <c r="O93" s="700" t="s">
        <v>612</v>
      </c>
      <c r="P93" s="700">
        <v>3422121</v>
      </c>
      <c r="Q93" s="658" t="s">
        <v>613</v>
      </c>
      <c r="R93" s="700"/>
    </row>
    <row r="94" spans="1:18" ht="24.95" customHeight="1" x14ac:dyDescent="0.25">
      <c r="A94" s="692">
        <v>84131501</v>
      </c>
      <c r="B94" s="701" t="s">
        <v>471</v>
      </c>
      <c r="C94" s="682" t="s">
        <v>281</v>
      </c>
      <c r="D94" s="682" t="s">
        <v>609</v>
      </c>
      <c r="E94" s="682" t="s">
        <v>648</v>
      </c>
      <c r="F94" s="692">
        <v>5</v>
      </c>
      <c r="G94" s="700"/>
      <c r="H94" s="695">
        <v>1</v>
      </c>
      <c r="I94" s="695"/>
      <c r="J94" s="700" t="s">
        <v>154</v>
      </c>
      <c r="K94" s="655" t="s">
        <v>3</v>
      </c>
      <c r="L94" s="656">
        <v>10</v>
      </c>
      <c r="M94" s="656" t="s">
        <v>649</v>
      </c>
      <c r="N94" s="706">
        <v>1000000</v>
      </c>
      <c r="O94" s="700" t="s">
        <v>612</v>
      </c>
      <c r="P94" s="700">
        <v>3422121</v>
      </c>
      <c r="Q94" s="658" t="s">
        <v>613</v>
      </c>
      <c r="R94" s="700"/>
    </row>
    <row r="95" spans="1:18" ht="24.95" customHeight="1" x14ac:dyDescent="0.25">
      <c r="A95" s="692"/>
      <c r="B95" s="701" t="s">
        <v>471</v>
      </c>
      <c r="C95" s="682" t="s">
        <v>281</v>
      </c>
      <c r="D95" s="682" t="s">
        <v>609</v>
      </c>
      <c r="E95" s="682" t="s">
        <v>650</v>
      </c>
      <c r="F95" s="692">
        <v>8</v>
      </c>
      <c r="G95" s="700"/>
      <c r="H95" s="695">
        <v>2</v>
      </c>
      <c r="I95" s="695">
        <v>15</v>
      </c>
      <c r="J95" s="700" t="s">
        <v>151</v>
      </c>
      <c r="K95" s="655" t="s">
        <v>10</v>
      </c>
      <c r="L95" s="656">
        <v>20</v>
      </c>
      <c r="M95" s="656" t="s">
        <v>641</v>
      </c>
      <c r="N95" s="706">
        <v>15000000</v>
      </c>
      <c r="O95" s="700" t="s">
        <v>612</v>
      </c>
      <c r="P95" s="700">
        <v>3422121</v>
      </c>
      <c r="Q95" s="662" t="s">
        <v>613</v>
      </c>
      <c r="R95" s="700"/>
    </row>
    <row r="96" spans="1:18" ht="24.95" customHeight="1" x14ac:dyDescent="0.25">
      <c r="A96" s="692"/>
      <c r="B96" s="701" t="s">
        <v>471</v>
      </c>
      <c r="C96" s="682" t="s">
        <v>281</v>
      </c>
      <c r="D96" s="682" t="s">
        <v>609</v>
      </c>
      <c r="E96" s="682" t="s">
        <v>650</v>
      </c>
      <c r="F96" s="692">
        <v>8</v>
      </c>
      <c r="G96" s="700"/>
      <c r="H96" s="695">
        <v>2</v>
      </c>
      <c r="I96" s="695">
        <v>15</v>
      </c>
      <c r="J96" s="700" t="s">
        <v>151</v>
      </c>
      <c r="K96" s="655" t="s">
        <v>10</v>
      </c>
      <c r="L96" s="656">
        <v>20</v>
      </c>
      <c r="M96" s="656" t="s">
        <v>651</v>
      </c>
      <c r="N96" s="706">
        <v>20500000</v>
      </c>
      <c r="O96" s="700" t="s">
        <v>612</v>
      </c>
      <c r="P96" s="700">
        <v>3422121</v>
      </c>
      <c r="Q96" s="662" t="s">
        <v>613</v>
      </c>
      <c r="R96" s="700"/>
    </row>
    <row r="97" spans="1:18" ht="24.95" customHeight="1" x14ac:dyDescent="0.25">
      <c r="A97" s="692"/>
      <c r="B97" s="701" t="s">
        <v>471</v>
      </c>
      <c r="C97" s="682" t="s">
        <v>281</v>
      </c>
      <c r="D97" s="682" t="s">
        <v>642</v>
      </c>
      <c r="E97" s="682" t="s">
        <v>652</v>
      </c>
      <c r="F97" s="692">
        <v>3</v>
      </c>
      <c r="G97" s="700"/>
      <c r="H97" s="695">
        <v>9</v>
      </c>
      <c r="I97" s="695"/>
      <c r="J97" s="700" t="s">
        <v>154</v>
      </c>
      <c r="K97" s="655" t="s">
        <v>10</v>
      </c>
      <c r="L97" s="656">
        <v>20</v>
      </c>
      <c r="M97" s="656" t="s">
        <v>615</v>
      </c>
      <c r="N97" s="706">
        <v>2200000</v>
      </c>
      <c r="O97" s="700" t="s">
        <v>612</v>
      </c>
      <c r="P97" s="700">
        <v>3422121</v>
      </c>
      <c r="Q97" s="662" t="s">
        <v>613</v>
      </c>
      <c r="R97" s="700"/>
    </row>
    <row r="98" spans="1:18" ht="24.95" customHeight="1" x14ac:dyDescent="0.25">
      <c r="A98" s="692"/>
      <c r="B98" s="701" t="s">
        <v>471</v>
      </c>
      <c r="C98" s="682" t="s">
        <v>281</v>
      </c>
      <c r="D98" s="682" t="s">
        <v>642</v>
      </c>
      <c r="E98" s="682" t="s">
        <v>653</v>
      </c>
      <c r="F98" s="692">
        <v>8</v>
      </c>
      <c r="G98" s="700"/>
      <c r="H98" s="695">
        <v>3</v>
      </c>
      <c r="I98" s="695"/>
      <c r="J98" s="700" t="s">
        <v>154</v>
      </c>
      <c r="K98" s="655" t="s">
        <v>10</v>
      </c>
      <c r="L98" s="656">
        <v>20</v>
      </c>
      <c r="M98" s="656" t="s">
        <v>641</v>
      </c>
      <c r="N98" s="706">
        <v>3000000</v>
      </c>
      <c r="O98" s="700" t="s">
        <v>612</v>
      </c>
      <c r="P98" s="700">
        <v>3422121</v>
      </c>
      <c r="Q98" s="658" t="s">
        <v>613</v>
      </c>
      <c r="R98" s="700"/>
    </row>
    <row r="99" spans="1:18" ht="24.95" customHeight="1" x14ac:dyDescent="0.25">
      <c r="A99" s="692"/>
      <c r="B99" s="701" t="s">
        <v>471</v>
      </c>
      <c r="C99" s="682" t="s">
        <v>281</v>
      </c>
      <c r="D99" s="682" t="s">
        <v>642</v>
      </c>
      <c r="E99" s="682" t="s">
        <v>653</v>
      </c>
      <c r="F99" s="692">
        <v>8</v>
      </c>
      <c r="G99" s="700"/>
      <c r="H99" s="695">
        <v>3</v>
      </c>
      <c r="I99" s="695"/>
      <c r="J99" s="700" t="s">
        <v>154</v>
      </c>
      <c r="K99" s="655" t="s">
        <v>10</v>
      </c>
      <c r="L99" s="656">
        <v>20</v>
      </c>
      <c r="M99" s="656" t="s">
        <v>651</v>
      </c>
      <c r="N99" s="706">
        <v>3000000</v>
      </c>
      <c r="O99" s="700" t="s">
        <v>612</v>
      </c>
      <c r="P99" s="700">
        <v>3422121</v>
      </c>
      <c r="Q99" s="658" t="s">
        <v>613</v>
      </c>
      <c r="R99" s="700"/>
    </row>
    <row r="100" spans="1:18" ht="24.95" customHeight="1" x14ac:dyDescent="0.25">
      <c r="A100" s="692"/>
      <c r="B100" s="701" t="s">
        <v>471</v>
      </c>
      <c r="C100" s="682" t="s">
        <v>281</v>
      </c>
      <c r="D100" s="682" t="s">
        <v>642</v>
      </c>
      <c r="E100" s="682" t="s">
        <v>653</v>
      </c>
      <c r="F100" s="692">
        <v>8</v>
      </c>
      <c r="G100" s="700"/>
      <c r="H100" s="695">
        <v>3</v>
      </c>
      <c r="I100" s="695"/>
      <c r="J100" s="700" t="s">
        <v>154</v>
      </c>
      <c r="K100" s="655" t="s">
        <v>10</v>
      </c>
      <c r="L100" s="656">
        <v>20</v>
      </c>
      <c r="M100" s="656" t="s">
        <v>640</v>
      </c>
      <c r="N100" s="706">
        <v>4000000</v>
      </c>
      <c r="O100" s="700" t="s">
        <v>612</v>
      </c>
      <c r="P100" s="700">
        <v>3422121</v>
      </c>
      <c r="Q100" s="658" t="s">
        <v>613</v>
      </c>
      <c r="R100" s="700"/>
    </row>
    <row r="101" spans="1:18" ht="24.95" customHeight="1" x14ac:dyDescent="0.25">
      <c r="A101" s="692"/>
      <c r="B101" s="701" t="s">
        <v>471</v>
      </c>
      <c r="C101" s="682" t="s">
        <v>281</v>
      </c>
      <c r="D101" s="682" t="s">
        <v>609</v>
      </c>
      <c r="E101" s="682" t="s">
        <v>654</v>
      </c>
      <c r="F101" s="692">
        <v>6</v>
      </c>
      <c r="G101" s="700"/>
      <c r="H101" s="695">
        <v>6</v>
      </c>
      <c r="I101" s="695"/>
      <c r="J101" s="700" t="s">
        <v>151</v>
      </c>
      <c r="K101" s="655" t="s">
        <v>10</v>
      </c>
      <c r="L101" s="656">
        <v>20</v>
      </c>
      <c r="M101" s="656" t="s">
        <v>655</v>
      </c>
      <c r="N101" s="706">
        <v>38000000</v>
      </c>
      <c r="O101" s="700" t="s">
        <v>612</v>
      </c>
      <c r="P101" s="700">
        <v>3422121</v>
      </c>
      <c r="Q101" s="658" t="s">
        <v>613</v>
      </c>
      <c r="R101" s="700"/>
    </row>
    <row r="102" spans="1:18" ht="24.95" customHeight="1" x14ac:dyDescent="0.25">
      <c r="A102" s="692">
        <v>78181505</v>
      </c>
      <c r="B102" s="701" t="s">
        <v>471</v>
      </c>
      <c r="C102" s="682" t="s">
        <v>281</v>
      </c>
      <c r="D102" s="682" t="s">
        <v>609</v>
      </c>
      <c r="E102" s="682" t="s">
        <v>656</v>
      </c>
      <c r="F102" s="692">
        <v>8</v>
      </c>
      <c r="G102" s="700"/>
      <c r="H102" s="695">
        <v>1</v>
      </c>
      <c r="I102" s="695">
        <v>15</v>
      </c>
      <c r="J102" s="700" t="s">
        <v>154</v>
      </c>
      <c r="K102" s="655" t="s">
        <v>10</v>
      </c>
      <c r="L102" s="656">
        <v>20</v>
      </c>
      <c r="M102" s="656" t="s">
        <v>605</v>
      </c>
      <c r="N102" s="706">
        <v>8000000</v>
      </c>
      <c r="O102" s="700" t="s">
        <v>657</v>
      </c>
      <c r="P102" s="700">
        <v>3422121</v>
      </c>
      <c r="Q102" s="662" t="s">
        <v>613</v>
      </c>
      <c r="R102" s="700"/>
    </row>
    <row r="103" spans="1:18" ht="24.95" customHeight="1" x14ac:dyDescent="0.25">
      <c r="A103" s="692"/>
      <c r="B103" s="701" t="s">
        <v>471</v>
      </c>
      <c r="C103" s="682" t="s">
        <v>281</v>
      </c>
      <c r="D103" s="682" t="s">
        <v>642</v>
      </c>
      <c r="E103" s="682" t="s">
        <v>658</v>
      </c>
      <c r="F103" s="692">
        <v>7</v>
      </c>
      <c r="G103" s="700"/>
      <c r="H103" s="695">
        <v>2</v>
      </c>
      <c r="I103" s="695"/>
      <c r="J103" s="700" t="s">
        <v>154</v>
      </c>
      <c r="K103" s="655" t="s">
        <v>10</v>
      </c>
      <c r="L103" s="656">
        <v>20</v>
      </c>
      <c r="M103" s="656" t="s">
        <v>640</v>
      </c>
      <c r="N103" s="706">
        <v>3126080</v>
      </c>
      <c r="O103" s="700" t="s">
        <v>612</v>
      </c>
      <c r="P103" s="700">
        <v>3422121</v>
      </c>
      <c r="Q103" s="658" t="s">
        <v>613</v>
      </c>
      <c r="R103" s="700"/>
    </row>
    <row r="104" spans="1:18" ht="24.95" customHeight="1" x14ac:dyDescent="0.25">
      <c r="A104" s="692"/>
      <c r="B104" s="701" t="s">
        <v>471</v>
      </c>
      <c r="C104" s="682" t="s">
        <v>281</v>
      </c>
      <c r="D104" s="682" t="s">
        <v>609</v>
      </c>
      <c r="E104" s="682" t="s">
        <v>659</v>
      </c>
      <c r="F104" s="692">
        <v>8</v>
      </c>
      <c r="G104" s="700"/>
      <c r="H104" s="695">
        <v>1</v>
      </c>
      <c r="I104" s="695">
        <v>15</v>
      </c>
      <c r="J104" s="700" t="s">
        <v>83</v>
      </c>
      <c r="K104" s="655" t="s">
        <v>10</v>
      </c>
      <c r="L104" s="656">
        <v>20</v>
      </c>
      <c r="M104" s="656" t="s">
        <v>660</v>
      </c>
      <c r="N104" s="706">
        <v>4850000</v>
      </c>
      <c r="O104" s="700" t="s">
        <v>612</v>
      </c>
      <c r="P104" s="700">
        <v>3422121</v>
      </c>
      <c r="Q104" s="658" t="s">
        <v>613</v>
      </c>
      <c r="R104" s="700"/>
    </row>
    <row r="105" spans="1:18" ht="24.95" customHeight="1" x14ac:dyDescent="0.25">
      <c r="A105" s="692">
        <v>46191600</v>
      </c>
      <c r="B105" s="701" t="s">
        <v>471</v>
      </c>
      <c r="C105" s="682" t="s">
        <v>281</v>
      </c>
      <c r="D105" s="682" t="s">
        <v>609</v>
      </c>
      <c r="E105" s="682" t="s">
        <v>661</v>
      </c>
      <c r="F105" s="692">
        <v>10</v>
      </c>
      <c r="G105" s="700"/>
      <c r="H105" s="695">
        <v>1</v>
      </c>
      <c r="I105" s="695"/>
      <c r="J105" s="700" t="s">
        <v>154</v>
      </c>
      <c r="K105" s="655" t="s">
        <v>10</v>
      </c>
      <c r="L105" s="656">
        <v>20</v>
      </c>
      <c r="M105" s="656" t="s">
        <v>605</v>
      </c>
      <c r="N105" s="706">
        <v>2000000</v>
      </c>
      <c r="O105" s="700" t="s">
        <v>612</v>
      </c>
      <c r="P105" s="700">
        <v>3422121</v>
      </c>
      <c r="Q105" s="662" t="s">
        <v>613</v>
      </c>
      <c r="R105" s="700"/>
    </row>
    <row r="106" spans="1:18" ht="24.95" customHeight="1" x14ac:dyDescent="0.25">
      <c r="A106" s="692"/>
      <c r="B106" s="701" t="s">
        <v>471</v>
      </c>
      <c r="C106" s="682" t="s">
        <v>281</v>
      </c>
      <c r="D106" s="682" t="s">
        <v>642</v>
      </c>
      <c r="E106" s="682" t="s">
        <v>662</v>
      </c>
      <c r="F106" s="692">
        <v>9</v>
      </c>
      <c r="G106" s="700"/>
      <c r="H106" s="695">
        <v>1</v>
      </c>
      <c r="I106" s="695"/>
      <c r="J106" s="700" t="s">
        <v>154</v>
      </c>
      <c r="K106" s="655" t="s">
        <v>10</v>
      </c>
      <c r="L106" s="656">
        <v>20</v>
      </c>
      <c r="M106" s="656" t="s">
        <v>551</v>
      </c>
      <c r="N106" s="706">
        <v>6242177</v>
      </c>
      <c r="O106" s="700" t="s">
        <v>612</v>
      </c>
      <c r="P106" s="700">
        <v>3422121</v>
      </c>
      <c r="Q106" s="658" t="s">
        <v>613</v>
      </c>
      <c r="R106" s="700"/>
    </row>
    <row r="107" spans="1:18" ht="24.95" customHeight="1" x14ac:dyDescent="0.25">
      <c r="A107" s="692">
        <v>72101506</v>
      </c>
      <c r="B107" s="701" t="s">
        <v>471</v>
      </c>
      <c r="C107" s="682" t="s">
        <v>281</v>
      </c>
      <c r="D107" s="682" t="s">
        <v>609</v>
      </c>
      <c r="E107" s="682" t="s">
        <v>664</v>
      </c>
      <c r="F107" s="655">
        <v>1</v>
      </c>
      <c r="G107" s="700"/>
      <c r="H107" s="695">
        <v>11</v>
      </c>
      <c r="I107" s="695">
        <v>20</v>
      </c>
      <c r="J107" s="700" t="s">
        <v>83</v>
      </c>
      <c r="K107" s="655" t="s">
        <v>3</v>
      </c>
      <c r="L107" s="656">
        <v>10</v>
      </c>
      <c r="M107" s="656" t="s">
        <v>605</v>
      </c>
      <c r="N107" s="706">
        <v>1185417</v>
      </c>
      <c r="O107" s="700" t="s">
        <v>612</v>
      </c>
      <c r="P107" s="700">
        <v>3422121</v>
      </c>
      <c r="Q107" s="665" t="s">
        <v>613</v>
      </c>
      <c r="R107" s="684"/>
    </row>
    <row r="108" spans="1:18" ht="24.95" customHeight="1" x14ac:dyDescent="0.25">
      <c r="A108" s="692"/>
      <c r="B108" s="701" t="s">
        <v>471</v>
      </c>
      <c r="C108" s="682" t="s">
        <v>281</v>
      </c>
      <c r="D108" s="682" t="s">
        <v>609</v>
      </c>
      <c r="E108" s="682" t="s">
        <v>664</v>
      </c>
      <c r="F108" s="655">
        <v>1</v>
      </c>
      <c r="G108" s="700"/>
      <c r="H108" s="695">
        <v>11</v>
      </c>
      <c r="I108" s="695">
        <v>20</v>
      </c>
      <c r="J108" s="700" t="s">
        <v>83</v>
      </c>
      <c r="K108" s="655" t="s">
        <v>10</v>
      </c>
      <c r="L108" s="656">
        <v>20</v>
      </c>
      <c r="M108" s="656" t="s">
        <v>605</v>
      </c>
      <c r="N108" s="706">
        <v>4505663</v>
      </c>
      <c r="O108" s="700" t="s">
        <v>612</v>
      </c>
      <c r="P108" s="700">
        <v>3422121</v>
      </c>
      <c r="Q108" s="658" t="s">
        <v>613</v>
      </c>
      <c r="R108" s="700"/>
    </row>
    <row r="109" spans="1:18" ht="24.95" customHeight="1" x14ac:dyDescent="0.25">
      <c r="A109" s="692" t="s">
        <v>665</v>
      </c>
      <c r="B109" s="701" t="s">
        <v>471</v>
      </c>
      <c r="C109" s="682" t="s">
        <v>281</v>
      </c>
      <c r="D109" s="682" t="s">
        <v>609</v>
      </c>
      <c r="E109" s="682" t="s">
        <v>666</v>
      </c>
      <c r="F109" s="655">
        <v>1</v>
      </c>
      <c r="G109" s="700"/>
      <c r="H109" s="695">
        <v>11</v>
      </c>
      <c r="I109" s="695">
        <v>20</v>
      </c>
      <c r="J109" s="700" t="s">
        <v>318</v>
      </c>
      <c r="K109" s="655" t="s">
        <v>3</v>
      </c>
      <c r="L109" s="656">
        <v>10</v>
      </c>
      <c r="M109" s="656" t="s">
        <v>667</v>
      </c>
      <c r="N109" s="706">
        <v>2400000</v>
      </c>
      <c r="O109" s="700" t="s">
        <v>612</v>
      </c>
      <c r="P109" s="700"/>
      <c r="Q109" s="662" t="s">
        <v>613</v>
      </c>
      <c r="R109" s="700"/>
    </row>
    <row r="110" spans="1:18" ht="24.95" customHeight="1" x14ac:dyDescent="0.25">
      <c r="A110" s="692" t="s">
        <v>665</v>
      </c>
      <c r="B110" s="701" t="s">
        <v>471</v>
      </c>
      <c r="C110" s="682" t="s">
        <v>281</v>
      </c>
      <c r="D110" s="682" t="s">
        <v>609</v>
      </c>
      <c r="E110" s="682" t="s">
        <v>666</v>
      </c>
      <c r="F110" s="655">
        <v>1</v>
      </c>
      <c r="G110" s="700"/>
      <c r="H110" s="695">
        <v>11</v>
      </c>
      <c r="I110" s="695">
        <v>20</v>
      </c>
      <c r="J110" s="700" t="s">
        <v>318</v>
      </c>
      <c r="K110" s="655" t="s">
        <v>10</v>
      </c>
      <c r="L110" s="656">
        <v>20</v>
      </c>
      <c r="M110" s="656" t="s">
        <v>667</v>
      </c>
      <c r="N110" s="706">
        <v>9600000</v>
      </c>
      <c r="O110" s="700" t="s">
        <v>612</v>
      </c>
      <c r="P110" s="700"/>
      <c r="Q110" s="662" t="s">
        <v>613</v>
      </c>
      <c r="R110" s="700"/>
    </row>
    <row r="111" spans="1:18" ht="24.95" customHeight="1" x14ac:dyDescent="0.25">
      <c r="A111" s="692"/>
      <c r="B111" s="701" t="s">
        <v>471</v>
      </c>
      <c r="C111" s="682" t="s">
        <v>281</v>
      </c>
      <c r="D111" s="682" t="s">
        <v>668</v>
      </c>
      <c r="E111" s="682" t="s">
        <v>669</v>
      </c>
      <c r="F111" s="692">
        <v>8</v>
      </c>
      <c r="G111" s="692">
        <v>5</v>
      </c>
      <c r="H111" s="695">
        <v>3</v>
      </c>
      <c r="I111" s="695"/>
      <c r="J111" s="700" t="s">
        <v>151</v>
      </c>
      <c r="K111" s="655" t="s">
        <v>10</v>
      </c>
      <c r="L111" s="656">
        <v>20</v>
      </c>
      <c r="M111" s="656" t="s">
        <v>641</v>
      </c>
      <c r="N111" s="706">
        <v>32033136</v>
      </c>
      <c r="O111" s="700" t="s">
        <v>612</v>
      </c>
      <c r="P111" s="700"/>
      <c r="Q111" s="658" t="s">
        <v>613</v>
      </c>
      <c r="R111" s="700"/>
    </row>
    <row r="112" spans="1:18" ht="24.95" customHeight="1" x14ac:dyDescent="0.25">
      <c r="A112" s="692"/>
      <c r="B112" s="701" t="s">
        <v>471</v>
      </c>
      <c r="C112" s="682" t="s">
        <v>281</v>
      </c>
      <c r="D112" s="682" t="s">
        <v>668</v>
      </c>
      <c r="E112" s="682" t="s">
        <v>669</v>
      </c>
      <c r="F112" s="692">
        <v>8</v>
      </c>
      <c r="G112" s="692">
        <v>5</v>
      </c>
      <c r="H112" s="695">
        <v>3</v>
      </c>
      <c r="I112" s="695"/>
      <c r="J112" s="700" t="s">
        <v>151</v>
      </c>
      <c r="K112" s="655" t="s">
        <v>10</v>
      </c>
      <c r="L112" s="656">
        <v>20</v>
      </c>
      <c r="M112" s="656" t="s">
        <v>645</v>
      </c>
      <c r="N112" s="706">
        <v>110000000</v>
      </c>
      <c r="O112" s="700" t="s">
        <v>612</v>
      </c>
      <c r="P112" s="700"/>
      <c r="Q112" s="658" t="s">
        <v>613</v>
      </c>
      <c r="R112" s="700"/>
    </row>
    <row r="113" spans="1:18" ht="24.95" customHeight="1" x14ac:dyDescent="0.25">
      <c r="A113" s="692"/>
      <c r="B113" s="700" t="s">
        <v>471</v>
      </c>
      <c r="C113" s="684" t="s">
        <v>281</v>
      </c>
      <c r="D113" s="682" t="s">
        <v>609</v>
      </c>
      <c r="E113" s="682" t="s">
        <v>670</v>
      </c>
      <c r="F113" s="655">
        <v>1</v>
      </c>
      <c r="G113" s="700"/>
      <c r="H113" s="695">
        <v>11</v>
      </c>
      <c r="I113" s="700"/>
      <c r="J113" s="700" t="s">
        <v>318</v>
      </c>
      <c r="K113" s="655" t="s">
        <v>3</v>
      </c>
      <c r="L113" s="656">
        <v>10</v>
      </c>
      <c r="M113" s="656" t="s">
        <v>600</v>
      </c>
      <c r="N113" s="706">
        <v>18000000</v>
      </c>
      <c r="O113" s="700" t="s">
        <v>671</v>
      </c>
      <c r="P113" s="700"/>
      <c r="Q113" s="700" t="s">
        <v>672</v>
      </c>
      <c r="R113" s="700"/>
    </row>
    <row r="114" spans="1:18" ht="24.95" customHeight="1" x14ac:dyDescent="0.25">
      <c r="A114" s="692"/>
      <c r="B114" s="701" t="s">
        <v>471</v>
      </c>
      <c r="C114" s="682" t="s">
        <v>281</v>
      </c>
      <c r="D114" s="682" t="s">
        <v>609</v>
      </c>
      <c r="E114" s="682" t="s">
        <v>673</v>
      </c>
      <c r="F114" s="692">
        <v>11</v>
      </c>
      <c r="G114" s="692"/>
      <c r="H114" s="695">
        <v>1</v>
      </c>
      <c r="I114" s="695"/>
      <c r="J114" s="700" t="s">
        <v>675</v>
      </c>
      <c r="K114" s="655" t="s">
        <v>10</v>
      </c>
      <c r="L114" s="656">
        <v>20</v>
      </c>
      <c r="M114" s="656" t="s">
        <v>551</v>
      </c>
      <c r="N114" s="706">
        <v>2500000</v>
      </c>
      <c r="O114" s="700" t="s">
        <v>671</v>
      </c>
      <c r="P114" s="700"/>
      <c r="Q114" s="661" t="s">
        <v>672</v>
      </c>
      <c r="R114" s="700"/>
    </row>
    <row r="115" spans="1:18" ht="24.95" customHeight="1" x14ac:dyDescent="0.25">
      <c r="A115" s="692"/>
      <c r="B115" s="700" t="s">
        <v>270</v>
      </c>
      <c r="C115" s="684" t="s">
        <v>281</v>
      </c>
      <c r="D115" s="682" t="s">
        <v>609</v>
      </c>
      <c r="E115" s="682" t="s">
        <v>676</v>
      </c>
      <c r="F115" s="655">
        <v>1</v>
      </c>
      <c r="G115" s="700"/>
      <c r="H115" s="700"/>
      <c r="I115" s="700"/>
      <c r="J115" s="700" t="s">
        <v>675</v>
      </c>
      <c r="K115" s="655" t="s">
        <v>3</v>
      </c>
      <c r="L115" s="656">
        <v>10</v>
      </c>
      <c r="M115" s="656" t="s">
        <v>677</v>
      </c>
      <c r="N115" s="706">
        <v>1071692</v>
      </c>
      <c r="O115" s="700" t="s">
        <v>678</v>
      </c>
      <c r="P115" s="700"/>
      <c r="Q115" s="661" t="s">
        <v>679</v>
      </c>
      <c r="R115" s="700"/>
    </row>
    <row r="116" spans="1:18" ht="24.95" customHeight="1" x14ac:dyDescent="0.25">
      <c r="A116" s="692"/>
      <c r="B116" s="700" t="s">
        <v>270</v>
      </c>
      <c r="C116" s="684" t="s">
        <v>281</v>
      </c>
      <c r="D116" s="682" t="s">
        <v>609</v>
      </c>
      <c r="E116" s="682" t="s">
        <v>676</v>
      </c>
      <c r="F116" s="655">
        <v>1</v>
      </c>
      <c r="G116" s="700"/>
      <c r="H116" s="700"/>
      <c r="I116" s="700"/>
      <c r="J116" s="700" t="s">
        <v>675</v>
      </c>
      <c r="K116" s="655" t="s">
        <v>3</v>
      </c>
      <c r="L116" s="656">
        <v>10</v>
      </c>
      <c r="M116" s="656" t="s">
        <v>680</v>
      </c>
      <c r="N116" s="706">
        <v>1071692</v>
      </c>
      <c r="O116" s="700" t="s">
        <v>678</v>
      </c>
      <c r="P116" s="700"/>
      <c r="Q116" s="661" t="s">
        <v>679</v>
      </c>
      <c r="R116" s="700"/>
    </row>
    <row r="117" spans="1:18" ht="24.95" customHeight="1" x14ac:dyDescent="0.25">
      <c r="A117" s="692"/>
      <c r="B117" s="700" t="s">
        <v>270</v>
      </c>
      <c r="C117" s="684" t="s">
        <v>281</v>
      </c>
      <c r="D117" s="682" t="s">
        <v>609</v>
      </c>
      <c r="E117" s="682" t="s">
        <v>676</v>
      </c>
      <c r="F117" s="655">
        <v>1</v>
      </c>
      <c r="G117" s="700"/>
      <c r="H117" s="700"/>
      <c r="I117" s="700"/>
      <c r="J117" s="700" t="s">
        <v>675</v>
      </c>
      <c r="K117" s="655" t="s">
        <v>3</v>
      </c>
      <c r="L117" s="656">
        <v>10</v>
      </c>
      <c r="M117" s="656" t="s">
        <v>681</v>
      </c>
      <c r="N117" s="706">
        <v>1071692</v>
      </c>
      <c r="O117" s="700" t="s">
        <v>678</v>
      </c>
      <c r="P117" s="700"/>
      <c r="Q117" s="661" t="s">
        <v>679</v>
      </c>
      <c r="R117" s="700"/>
    </row>
    <row r="118" spans="1:18" ht="24.95" customHeight="1" x14ac:dyDescent="0.25">
      <c r="A118" s="692"/>
      <c r="B118" s="700" t="s">
        <v>270</v>
      </c>
      <c r="C118" s="684" t="s">
        <v>281</v>
      </c>
      <c r="D118" s="682" t="s">
        <v>609</v>
      </c>
      <c r="E118" s="682" t="s">
        <v>676</v>
      </c>
      <c r="F118" s="655">
        <v>1</v>
      </c>
      <c r="G118" s="700"/>
      <c r="H118" s="700"/>
      <c r="I118" s="700"/>
      <c r="J118" s="700" t="s">
        <v>675</v>
      </c>
      <c r="K118" s="655" t="s">
        <v>3</v>
      </c>
      <c r="L118" s="656">
        <v>10</v>
      </c>
      <c r="M118" s="656" t="s">
        <v>582</v>
      </c>
      <c r="N118" s="706">
        <v>1071692</v>
      </c>
      <c r="O118" s="700" t="s">
        <v>678</v>
      </c>
      <c r="P118" s="700"/>
      <c r="Q118" s="661" t="s">
        <v>679</v>
      </c>
      <c r="R118" s="700"/>
    </row>
    <row r="119" spans="1:18" ht="24.95" customHeight="1" x14ac:dyDescent="0.25">
      <c r="A119" s="692"/>
      <c r="B119" s="700" t="s">
        <v>270</v>
      </c>
      <c r="C119" s="684" t="s">
        <v>281</v>
      </c>
      <c r="D119" s="682" t="s">
        <v>609</v>
      </c>
      <c r="E119" s="682" t="s">
        <v>676</v>
      </c>
      <c r="F119" s="655">
        <v>1</v>
      </c>
      <c r="G119" s="700"/>
      <c r="H119" s="700"/>
      <c r="I119" s="700"/>
      <c r="J119" s="700" t="s">
        <v>675</v>
      </c>
      <c r="K119" s="655" t="s">
        <v>3</v>
      </c>
      <c r="L119" s="656">
        <v>10</v>
      </c>
      <c r="M119" s="656" t="s">
        <v>594</v>
      </c>
      <c r="N119" s="706">
        <v>1071692</v>
      </c>
      <c r="O119" s="700" t="s">
        <v>678</v>
      </c>
      <c r="P119" s="700"/>
      <c r="Q119" s="661" t="s">
        <v>679</v>
      </c>
      <c r="R119" s="700"/>
    </row>
    <row r="120" spans="1:18" ht="24.95" customHeight="1" x14ac:dyDescent="0.25">
      <c r="A120" s="692"/>
      <c r="B120" s="700" t="s">
        <v>270</v>
      </c>
      <c r="C120" s="684" t="s">
        <v>281</v>
      </c>
      <c r="D120" s="682" t="s">
        <v>609</v>
      </c>
      <c r="E120" s="682" t="s">
        <v>676</v>
      </c>
      <c r="F120" s="655">
        <v>1</v>
      </c>
      <c r="G120" s="700"/>
      <c r="H120" s="700"/>
      <c r="I120" s="700"/>
      <c r="J120" s="700" t="s">
        <v>675</v>
      </c>
      <c r="K120" s="655" t="s">
        <v>3</v>
      </c>
      <c r="L120" s="656">
        <v>10</v>
      </c>
      <c r="M120" s="656" t="s">
        <v>651</v>
      </c>
      <c r="N120" s="706">
        <v>1071692</v>
      </c>
      <c r="O120" s="700" t="s">
        <v>678</v>
      </c>
      <c r="P120" s="700"/>
      <c r="Q120" s="661" t="s">
        <v>679</v>
      </c>
      <c r="R120" s="700"/>
    </row>
    <row r="121" spans="1:18" ht="24.95" customHeight="1" x14ac:dyDescent="0.25">
      <c r="A121" s="692"/>
      <c r="B121" s="700" t="s">
        <v>270</v>
      </c>
      <c r="C121" s="684" t="s">
        <v>281</v>
      </c>
      <c r="D121" s="682" t="s">
        <v>609</v>
      </c>
      <c r="E121" s="682" t="s">
        <v>676</v>
      </c>
      <c r="F121" s="655">
        <v>1</v>
      </c>
      <c r="G121" s="700"/>
      <c r="H121" s="700"/>
      <c r="I121" s="700"/>
      <c r="J121" s="700" t="s">
        <v>675</v>
      </c>
      <c r="K121" s="655" t="s">
        <v>3</v>
      </c>
      <c r="L121" s="656">
        <v>10</v>
      </c>
      <c r="M121" s="656" t="s">
        <v>640</v>
      </c>
      <c r="N121" s="706">
        <v>1071692</v>
      </c>
      <c r="O121" s="700" t="s">
        <v>678</v>
      </c>
      <c r="P121" s="700"/>
      <c r="Q121" s="661" t="s">
        <v>679</v>
      </c>
      <c r="R121" s="700"/>
    </row>
    <row r="122" spans="1:18" ht="24.95" customHeight="1" x14ac:dyDescent="0.25">
      <c r="A122" s="692"/>
      <c r="B122" s="700" t="s">
        <v>270</v>
      </c>
      <c r="C122" s="684" t="s">
        <v>281</v>
      </c>
      <c r="D122" s="682" t="s">
        <v>609</v>
      </c>
      <c r="E122" s="682" t="s">
        <v>676</v>
      </c>
      <c r="F122" s="655">
        <v>1</v>
      </c>
      <c r="G122" s="700"/>
      <c r="H122" s="700"/>
      <c r="I122" s="700"/>
      <c r="J122" s="700" t="s">
        <v>675</v>
      </c>
      <c r="K122" s="655" t="s">
        <v>3</v>
      </c>
      <c r="L122" s="656">
        <v>10</v>
      </c>
      <c r="M122" s="656" t="s">
        <v>647</v>
      </c>
      <c r="N122" s="706">
        <v>1071692</v>
      </c>
      <c r="O122" s="700" t="s">
        <v>678</v>
      </c>
      <c r="P122" s="700"/>
      <c r="Q122" s="661" t="s">
        <v>679</v>
      </c>
      <c r="R122" s="700"/>
    </row>
    <row r="123" spans="1:18" ht="24.95" customHeight="1" x14ac:dyDescent="0.25">
      <c r="A123" s="692"/>
      <c r="B123" s="700" t="s">
        <v>270</v>
      </c>
      <c r="C123" s="684" t="s">
        <v>281</v>
      </c>
      <c r="D123" s="682" t="s">
        <v>609</v>
      </c>
      <c r="E123" s="682" t="s">
        <v>676</v>
      </c>
      <c r="F123" s="655">
        <v>1</v>
      </c>
      <c r="G123" s="700"/>
      <c r="H123" s="700"/>
      <c r="I123" s="700"/>
      <c r="J123" s="700" t="s">
        <v>675</v>
      </c>
      <c r="K123" s="655" t="s">
        <v>3</v>
      </c>
      <c r="L123" s="656">
        <v>10</v>
      </c>
      <c r="M123" s="656" t="s">
        <v>682</v>
      </c>
      <c r="N123" s="706">
        <v>1071692</v>
      </c>
      <c r="O123" s="700" t="s">
        <v>678</v>
      </c>
      <c r="P123" s="700"/>
      <c r="Q123" s="661" t="s">
        <v>679</v>
      </c>
      <c r="R123" s="700"/>
    </row>
    <row r="124" spans="1:18" ht="24.95" customHeight="1" x14ac:dyDescent="0.25">
      <c r="A124" s="692"/>
      <c r="B124" s="700" t="s">
        <v>270</v>
      </c>
      <c r="C124" s="684" t="s">
        <v>281</v>
      </c>
      <c r="D124" s="682" t="s">
        <v>609</v>
      </c>
      <c r="E124" s="682" t="s">
        <v>676</v>
      </c>
      <c r="F124" s="655">
        <v>1</v>
      </c>
      <c r="G124" s="700"/>
      <c r="H124" s="700"/>
      <c r="I124" s="700"/>
      <c r="J124" s="700" t="s">
        <v>675</v>
      </c>
      <c r="K124" s="655" t="s">
        <v>3</v>
      </c>
      <c r="L124" s="656">
        <v>10</v>
      </c>
      <c r="M124" s="656" t="s">
        <v>604</v>
      </c>
      <c r="N124" s="706">
        <v>1071692</v>
      </c>
      <c r="O124" s="700" t="s">
        <v>678</v>
      </c>
      <c r="P124" s="700"/>
      <c r="Q124" s="661" t="s">
        <v>679</v>
      </c>
      <c r="R124" s="700"/>
    </row>
    <row r="125" spans="1:18" ht="24.95" customHeight="1" x14ac:dyDescent="0.25">
      <c r="A125" s="692"/>
      <c r="B125" s="700" t="s">
        <v>270</v>
      </c>
      <c r="C125" s="684" t="s">
        <v>281</v>
      </c>
      <c r="D125" s="682" t="s">
        <v>609</v>
      </c>
      <c r="E125" s="682" t="s">
        <v>676</v>
      </c>
      <c r="F125" s="655">
        <v>1</v>
      </c>
      <c r="G125" s="700"/>
      <c r="H125" s="700"/>
      <c r="I125" s="700"/>
      <c r="J125" s="700" t="s">
        <v>675</v>
      </c>
      <c r="K125" s="655" t="s">
        <v>3</v>
      </c>
      <c r="L125" s="656">
        <v>10</v>
      </c>
      <c r="M125" s="656" t="s">
        <v>621</v>
      </c>
      <c r="N125" s="706">
        <v>1071692</v>
      </c>
      <c r="O125" s="700" t="s">
        <v>678</v>
      </c>
      <c r="P125" s="700"/>
      <c r="Q125" s="661" t="s">
        <v>679</v>
      </c>
      <c r="R125" s="700"/>
    </row>
    <row r="126" spans="1:18" ht="24.95" customHeight="1" x14ac:dyDescent="0.25">
      <c r="A126" s="692"/>
      <c r="B126" s="700" t="s">
        <v>270</v>
      </c>
      <c r="C126" s="684" t="s">
        <v>281</v>
      </c>
      <c r="D126" s="682" t="s">
        <v>609</v>
      </c>
      <c r="E126" s="682" t="s">
        <v>676</v>
      </c>
      <c r="F126" s="655">
        <v>1</v>
      </c>
      <c r="G126" s="700"/>
      <c r="H126" s="700"/>
      <c r="I126" s="700"/>
      <c r="J126" s="700" t="s">
        <v>675</v>
      </c>
      <c r="K126" s="655" t="s">
        <v>3</v>
      </c>
      <c r="L126" s="656">
        <v>10</v>
      </c>
      <c r="M126" s="656" t="s">
        <v>605</v>
      </c>
      <c r="N126" s="706">
        <v>1071692</v>
      </c>
      <c r="O126" s="700" t="s">
        <v>678</v>
      </c>
      <c r="P126" s="700"/>
      <c r="Q126" s="661" t="s">
        <v>679</v>
      </c>
      <c r="R126" s="700"/>
    </row>
    <row r="127" spans="1:18" ht="24.95" customHeight="1" x14ac:dyDescent="0.25">
      <c r="A127" s="692"/>
      <c r="B127" s="700" t="s">
        <v>270</v>
      </c>
      <c r="C127" s="684" t="s">
        <v>281</v>
      </c>
      <c r="D127" s="682" t="s">
        <v>609</v>
      </c>
      <c r="E127" s="682" t="s">
        <v>676</v>
      </c>
      <c r="F127" s="655">
        <v>1</v>
      </c>
      <c r="G127" s="700"/>
      <c r="H127" s="700"/>
      <c r="I127" s="700"/>
      <c r="J127" s="700" t="s">
        <v>675</v>
      </c>
      <c r="K127" s="655" t="s">
        <v>3</v>
      </c>
      <c r="L127" s="656">
        <v>10</v>
      </c>
      <c r="M127" s="656" t="s">
        <v>660</v>
      </c>
      <c r="N127" s="706">
        <v>1071696</v>
      </c>
      <c r="O127" s="700" t="s">
        <v>678</v>
      </c>
      <c r="P127" s="700"/>
      <c r="Q127" s="661" t="s">
        <v>679</v>
      </c>
      <c r="R127" s="700"/>
    </row>
    <row r="128" spans="1:18" ht="24.95" customHeight="1" x14ac:dyDescent="0.25">
      <c r="A128" s="692" t="s">
        <v>683</v>
      </c>
      <c r="B128" s="700" t="s">
        <v>270</v>
      </c>
      <c r="C128" s="684" t="s">
        <v>203</v>
      </c>
      <c r="D128" s="684" t="s">
        <v>684</v>
      </c>
      <c r="E128" s="682" t="s">
        <v>685</v>
      </c>
      <c r="F128" s="655">
        <v>1</v>
      </c>
      <c r="G128" s="700"/>
      <c r="H128" s="700">
        <v>11</v>
      </c>
      <c r="I128" s="695">
        <v>15</v>
      </c>
      <c r="J128" s="700" t="s">
        <v>83</v>
      </c>
      <c r="K128" s="655" t="s">
        <v>10</v>
      </c>
      <c r="L128" s="656">
        <v>20</v>
      </c>
      <c r="M128" s="656" t="s">
        <v>547</v>
      </c>
      <c r="N128" s="706">
        <v>84548426</v>
      </c>
      <c r="O128" s="700" t="s">
        <v>686</v>
      </c>
      <c r="P128" s="700"/>
      <c r="Q128" s="661" t="s">
        <v>687</v>
      </c>
      <c r="R128" s="700"/>
    </row>
    <row r="129" spans="1:18" ht="24.95" customHeight="1" x14ac:dyDescent="0.25">
      <c r="A129" s="692"/>
      <c r="B129" s="700" t="s">
        <v>270</v>
      </c>
      <c r="C129" s="684" t="s">
        <v>203</v>
      </c>
      <c r="D129" s="684"/>
      <c r="E129" s="682" t="s">
        <v>688</v>
      </c>
      <c r="F129" s="692">
        <v>1</v>
      </c>
      <c r="G129" s="700">
        <v>1</v>
      </c>
      <c r="H129" s="700">
        <v>11</v>
      </c>
      <c r="I129" s="700">
        <v>0</v>
      </c>
      <c r="J129" s="700" t="s">
        <v>675</v>
      </c>
      <c r="K129" s="655" t="s">
        <v>3</v>
      </c>
      <c r="L129" s="656">
        <v>10</v>
      </c>
      <c r="M129" s="656" t="s">
        <v>551</v>
      </c>
      <c r="N129" s="706">
        <v>9000000</v>
      </c>
      <c r="O129" s="700" t="s">
        <v>556</v>
      </c>
      <c r="P129" s="700"/>
      <c r="Q129" s="661" t="s">
        <v>557</v>
      </c>
      <c r="R129" s="700"/>
    </row>
    <row r="130" spans="1:18" ht="24.95" customHeight="1" x14ac:dyDescent="0.25">
      <c r="A130" s="692"/>
      <c r="B130" s="700" t="s">
        <v>270</v>
      </c>
      <c r="C130" s="684" t="s">
        <v>203</v>
      </c>
      <c r="D130" s="684"/>
      <c r="E130" s="682" t="s">
        <v>688</v>
      </c>
      <c r="F130" s="692">
        <v>1</v>
      </c>
      <c r="G130" s="700">
        <v>1</v>
      </c>
      <c r="H130" s="700">
        <v>11</v>
      </c>
      <c r="I130" s="700">
        <v>0</v>
      </c>
      <c r="J130" s="700" t="s">
        <v>675</v>
      </c>
      <c r="K130" s="655" t="s">
        <v>10</v>
      </c>
      <c r="L130" s="656">
        <v>20</v>
      </c>
      <c r="M130" s="656" t="s">
        <v>551</v>
      </c>
      <c r="N130" s="706">
        <v>48000000</v>
      </c>
      <c r="O130" s="700" t="s">
        <v>556</v>
      </c>
      <c r="P130" s="700"/>
      <c r="Q130" s="661" t="s">
        <v>557</v>
      </c>
      <c r="R130" s="700"/>
    </row>
    <row r="131" spans="1:18" ht="24.95" customHeight="1" x14ac:dyDescent="0.25">
      <c r="A131" s="692"/>
      <c r="B131" s="700" t="s">
        <v>471</v>
      </c>
      <c r="C131" s="684" t="s">
        <v>554</v>
      </c>
      <c r="D131" s="684" t="s">
        <v>554</v>
      </c>
      <c r="E131" s="682" t="s">
        <v>690</v>
      </c>
      <c r="F131" s="655">
        <v>1</v>
      </c>
      <c r="G131" s="700"/>
      <c r="H131" s="700">
        <v>11</v>
      </c>
      <c r="I131" s="700">
        <v>30</v>
      </c>
      <c r="J131" s="700"/>
      <c r="K131" s="655" t="s">
        <v>10</v>
      </c>
      <c r="L131" s="656">
        <v>20</v>
      </c>
      <c r="M131" s="656" t="s">
        <v>628</v>
      </c>
      <c r="N131" s="706">
        <v>17258285</v>
      </c>
      <c r="O131" s="700" t="s">
        <v>556</v>
      </c>
      <c r="P131" s="700"/>
      <c r="Q131" s="661" t="s">
        <v>557</v>
      </c>
      <c r="R131" s="700"/>
    </row>
    <row r="132" spans="1:18" ht="24.95" customHeight="1" x14ac:dyDescent="0.25">
      <c r="A132" s="692"/>
      <c r="B132" s="700" t="s">
        <v>471</v>
      </c>
      <c r="C132" s="684" t="s">
        <v>554</v>
      </c>
      <c r="D132" s="684" t="s">
        <v>554</v>
      </c>
      <c r="E132" s="682" t="s">
        <v>691</v>
      </c>
      <c r="F132" s="655">
        <v>1</v>
      </c>
      <c r="G132" s="700"/>
      <c r="H132" s="700"/>
      <c r="I132" s="700"/>
      <c r="J132" s="700"/>
      <c r="K132" s="655" t="s">
        <v>10</v>
      </c>
      <c r="L132" s="656">
        <v>20</v>
      </c>
      <c r="M132" s="656" t="s">
        <v>692</v>
      </c>
      <c r="N132" s="706">
        <v>997141</v>
      </c>
      <c r="O132" s="700" t="s">
        <v>556</v>
      </c>
      <c r="P132" s="700"/>
      <c r="Q132" s="661" t="s">
        <v>557</v>
      </c>
      <c r="R132" s="700"/>
    </row>
    <row r="133" spans="1:18" ht="24.95" customHeight="1" x14ac:dyDescent="0.25">
      <c r="A133" s="692"/>
      <c r="B133" s="700" t="s">
        <v>471</v>
      </c>
      <c r="C133" s="684" t="s">
        <v>554</v>
      </c>
      <c r="D133" s="684" t="s">
        <v>554</v>
      </c>
      <c r="E133" s="682" t="s">
        <v>693</v>
      </c>
      <c r="F133" s="655">
        <v>1</v>
      </c>
      <c r="G133" s="700"/>
      <c r="H133" s="700">
        <v>11</v>
      </c>
      <c r="I133" s="700"/>
      <c r="J133" s="700"/>
      <c r="K133" s="655" t="s">
        <v>3</v>
      </c>
      <c r="L133" s="656">
        <v>10</v>
      </c>
      <c r="M133" s="656" t="s">
        <v>628</v>
      </c>
      <c r="N133" s="706">
        <v>241488</v>
      </c>
      <c r="O133" s="700" t="s">
        <v>556</v>
      </c>
      <c r="P133" s="700"/>
      <c r="Q133" s="661" t="s">
        <v>557</v>
      </c>
      <c r="R133" s="700"/>
    </row>
    <row r="134" spans="1:18" ht="24.95" customHeight="1" x14ac:dyDescent="0.25">
      <c r="A134" s="692"/>
      <c r="B134" s="701" t="s">
        <v>471</v>
      </c>
      <c r="C134" s="682" t="s">
        <v>281</v>
      </c>
      <c r="D134" s="682" t="s">
        <v>619</v>
      </c>
      <c r="E134" s="682" t="s">
        <v>694</v>
      </c>
      <c r="F134" s="692">
        <v>3</v>
      </c>
      <c r="G134" s="700"/>
      <c r="H134" s="695">
        <v>1</v>
      </c>
      <c r="I134" s="695"/>
      <c r="J134" s="700" t="s">
        <v>154</v>
      </c>
      <c r="K134" s="655" t="s">
        <v>3</v>
      </c>
      <c r="L134" s="656">
        <v>10</v>
      </c>
      <c r="M134" s="656" t="s">
        <v>695</v>
      </c>
      <c r="N134" s="706">
        <v>200000</v>
      </c>
      <c r="O134" s="700" t="s">
        <v>612</v>
      </c>
      <c r="P134" s="700">
        <v>3422121</v>
      </c>
      <c r="Q134" s="658" t="s">
        <v>613</v>
      </c>
      <c r="R134" s="700"/>
    </row>
    <row r="135" spans="1:18" ht="24.95" customHeight="1" x14ac:dyDescent="0.25">
      <c r="A135" s="692"/>
      <c r="B135" s="701" t="s">
        <v>471</v>
      </c>
      <c r="C135" s="682" t="s">
        <v>281</v>
      </c>
      <c r="D135" s="682" t="s">
        <v>619</v>
      </c>
      <c r="E135" s="682" t="s">
        <v>697</v>
      </c>
      <c r="F135" s="692">
        <v>3</v>
      </c>
      <c r="G135" s="700"/>
      <c r="H135" s="695">
        <v>1</v>
      </c>
      <c r="I135" s="695"/>
      <c r="J135" s="700" t="s">
        <v>154</v>
      </c>
      <c r="K135" s="655" t="s">
        <v>3</v>
      </c>
      <c r="L135" s="656">
        <v>10</v>
      </c>
      <c r="M135" s="656" t="s">
        <v>695</v>
      </c>
      <c r="N135" s="706">
        <v>1300000</v>
      </c>
      <c r="O135" s="700" t="s">
        <v>632</v>
      </c>
      <c r="P135" s="700">
        <v>3422121</v>
      </c>
      <c r="Q135" s="658" t="s">
        <v>613</v>
      </c>
      <c r="R135" s="700"/>
    </row>
    <row r="136" spans="1:18" ht="24.95" customHeight="1" x14ac:dyDescent="0.25">
      <c r="A136" s="692"/>
      <c r="B136" s="701" t="s">
        <v>471</v>
      </c>
      <c r="C136" s="682" t="s">
        <v>281</v>
      </c>
      <c r="D136" s="682" t="s">
        <v>609</v>
      </c>
      <c r="E136" s="682" t="s">
        <v>698</v>
      </c>
      <c r="F136" s="692">
        <v>2</v>
      </c>
      <c r="G136" s="700"/>
      <c r="H136" s="695" t="s">
        <v>699</v>
      </c>
      <c r="I136" s="695" t="s">
        <v>699</v>
      </c>
      <c r="J136" s="692"/>
      <c r="K136" s="655" t="s">
        <v>3</v>
      </c>
      <c r="L136" s="656">
        <v>10</v>
      </c>
      <c r="M136" s="656" t="s">
        <v>695</v>
      </c>
      <c r="N136" s="706">
        <v>3853040</v>
      </c>
      <c r="O136" s="700"/>
      <c r="P136" s="700"/>
      <c r="Q136" s="662" t="s">
        <v>613</v>
      </c>
      <c r="R136" s="700"/>
    </row>
    <row r="137" spans="1:18" ht="24.95" customHeight="1" x14ac:dyDescent="0.25">
      <c r="A137" s="692"/>
      <c r="B137" s="700" t="s">
        <v>471</v>
      </c>
      <c r="C137" s="684" t="s">
        <v>554</v>
      </c>
      <c r="D137" s="684" t="s">
        <v>554</v>
      </c>
      <c r="E137" s="682" t="s">
        <v>700</v>
      </c>
      <c r="F137" s="655">
        <v>1</v>
      </c>
      <c r="G137" s="700"/>
      <c r="H137" s="700">
        <v>6</v>
      </c>
      <c r="I137" s="700"/>
      <c r="J137" s="700"/>
      <c r="K137" s="655" t="s">
        <v>3</v>
      </c>
      <c r="L137" s="656">
        <v>10</v>
      </c>
      <c r="M137" s="656" t="s">
        <v>701</v>
      </c>
      <c r="N137" s="706">
        <v>2000000</v>
      </c>
      <c r="O137" s="700"/>
      <c r="P137" s="700"/>
      <c r="Q137" s="700"/>
      <c r="R137" s="700"/>
    </row>
    <row r="138" spans="1:18" ht="24.95" customHeight="1" x14ac:dyDescent="0.25">
      <c r="A138" s="692"/>
      <c r="B138" s="700" t="s">
        <v>471</v>
      </c>
      <c r="C138" s="684" t="s">
        <v>554</v>
      </c>
      <c r="D138" s="684" t="s">
        <v>554</v>
      </c>
      <c r="E138" s="682" t="s">
        <v>703</v>
      </c>
      <c r="F138" s="655">
        <v>1</v>
      </c>
      <c r="G138" s="700"/>
      <c r="H138" s="700">
        <v>6</v>
      </c>
      <c r="I138" s="700"/>
      <c r="J138" s="700"/>
      <c r="K138" s="655" t="s">
        <v>3</v>
      </c>
      <c r="L138" s="656">
        <v>10</v>
      </c>
      <c r="M138" s="656" t="s">
        <v>704</v>
      </c>
      <c r="N138" s="706">
        <v>27446340</v>
      </c>
      <c r="O138" s="700"/>
      <c r="P138" s="700"/>
      <c r="Q138" s="700"/>
      <c r="R138" s="700"/>
    </row>
    <row r="139" spans="1:18" ht="24.95" customHeight="1" x14ac:dyDescent="0.25">
      <c r="A139" s="708"/>
      <c r="B139" s="700" t="s">
        <v>471</v>
      </c>
      <c r="C139" s="684" t="s">
        <v>554</v>
      </c>
      <c r="D139" s="684" t="s">
        <v>554</v>
      </c>
      <c r="E139" s="682" t="s">
        <v>705</v>
      </c>
      <c r="F139" s="655">
        <v>1</v>
      </c>
      <c r="G139" s="689"/>
      <c r="H139" s="689">
        <v>10</v>
      </c>
      <c r="I139" s="689"/>
      <c r="J139" s="689"/>
      <c r="K139" s="655" t="s">
        <v>3</v>
      </c>
      <c r="L139" s="656">
        <v>11</v>
      </c>
      <c r="M139" s="656" t="s">
        <v>706</v>
      </c>
      <c r="N139" s="706">
        <v>37208527</v>
      </c>
      <c r="O139" s="709"/>
      <c r="P139" s="689"/>
      <c r="Q139" s="709"/>
      <c r="R139" s="689" t="s">
        <v>707</v>
      </c>
    </row>
    <row r="140" spans="1:18" ht="24.95" customHeight="1" x14ac:dyDescent="0.25">
      <c r="A140" s="708"/>
      <c r="B140" s="689" t="s">
        <v>270</v>
      </c>
      <c r="C140" s="684" t="s">
        <v>281</v>
      </c>
      <c r="D140" s="682" t="s">
        <v>609</v>
      </c>
      <c r="E140" s="682" t="s">
        <v>708</v>
      </c>
      <c r="F140" s="655">
        <v>1</v>
      </c>
      <c r="G140" s="689"/>
      <c r="H140" s="689">
        <v>11</v>
      </c>
      <c r="I140" s="689"/>
      <c r="J140" s="700" t="s">
        <v>83</v>
      </c>
      <c r="K140" s="655" t="s">
        <v>3</v>
      </c>
      <c r="L140" s="656">
        <v>10</v>
      </c>
      <c r="M140" s="656" t="s">
        <v>695</v>
      </c>
      <c r="N140" s="706">
        <v>1000000</v>
      </c>
      <c r="O140" s="709"/>
      <c r="P140" s="689"/>
      <c r="Q140" s="709"/>
      <c r="R140" s="689"/>
    </row>
    <row r="141" spans="1:18" ht="24.95" customHeight="1" x14ac:dyDescent="0.25">
      <c r="A141" s="708"/>
      <c r="B141" s="689" t="s">
        <v>270</v>
      </c>
      <c r="C141" s="689" t="s">
        <v>203</v>
      </c>
      <c r="D141" s="684" t="s">
        <v>684</v>
      </c>
      <c r="E141" s="666" t="s">
        <v>709</v>
      </c>
      <c r="F141" s="692">
        <v>12</v>
      </c>
      <c r="G141" s="689" t="s">
        <v>710</v>
      </c>
      <c r="H141" s="689" t="s">
        <v>711</v>
      </c>
      <c r="I141" s="689"/>
      <c r="J141" s="689" t="s">
        <v>675</v>
      </c>
      <c r="K141" s="655" t="s">
        <v>10</v>
      </c>
      <c r="L141" s="656">
        <v>20</v>
      </c>
      <c r="M141" s="656" t="s">
        <v>712</v>
      </c>
      <c r="N141" s="706">
        <v>94172868</v>
      </c>
      <c r="O141" s="709"/>
      <c r="P141" s="689"/>
      <c r="Q141" s="709"/>
      <c r="R141" s="689"/>
    </row>
    <row r="142" spans="1:18" ht="24.95" customHeight="1" x14ac:dyDescent="0.25">
      <c r="A142" s="708"/>
      <c r="B142" s="689" t="s">
        <v>270</v>
      </c>
      <c r="C142" s="689" t="s">
        <v>203</v>
      </c>
      <c r="D142" s="684" t="s">
        <v>684</v>
      </c>
      <c r="E142" s="682" t="s">
        <v>713</v>
      </c>
      <c r="F142" s="655">
        <v>1</v>
      </c>
      <c r="G142" s="689"/>
      <c r="H142" s="689"/>
      <c r="I142" s="689"/>
      <c r="J142" s="689" t="s">
        <v>675</v>
      </c>
      <c r="K142" s="655" t="s">
        <v>3</v>
      </c>
      <c r="L142" s="656">
        <v>10</v>
      </c>
      <c r="M142" s="656" t="s">
        <v>714</v>
      </c>
      <c r="N142" s="706">
        <v>200000</v>
      </c>
      <c r="O142" s="709"/>
      <c r="P142" s="689"/>
      <c r="Q142" s="709"/>
      <c r="R142" s="689"/>
    </row>
    <row r="143" spans="1:18" ht="24.95" customHeight="1" x14ac:dyDescent="0.25">
      <c r="A143" s="708"/>
      <c r="B143" s="689" t="s">
        <v>270</v>
      </c>
      <c r="C143" s="689" t="s">
        <v>203</v>
      </c>
      <c r="D143" s="684" t="s">
        <v>684</v>
      </c>
      <c r="E143" s="682" t="s">
        <v>713</v>
      </c>
      <c r="F143" s="655">
        <v>1</v>
      </c>
      <c r="G143" s="689"/>
      <c r="H143" s="689"/>
      <c r="I143" s="689"/>
      <c r="J143" s="689" t="s">
        <v>675</v>
      </c>
      <c r="K143" s="655" t="s">
        <v>3</v>
      </c>
      <c r="L143" s="656">
        <v>10</v>
      </c>
      <c r="M143" s="656" t="s">
        <v>715</v>
      </c>
      <c r="N143" s="706">
        <v>858840</v>
      </c>
      <c r="O143" s="709"/>
      <c r="P143" s="689"/>
      <c r="Q143" s="709"/>
      <c r="R143" s="689"/>
    </row>
    <row r="144" spans="1:18" ht="182.1" customHeight="1" x14ac:dyDescent="0.25">
      <c r="A144" s="675"/>
      <c r="B144" s="702"/>
      <c r="C144" s="702"/>
      <c r="D144" s="702"/>
      <c r="E144" s="673"/>
      <c r="F144" s="675"/>
      <c r="G144" s="702"/>
      <c r="H144" s="702"/>
      <c r="I144" s="702"/>
      <c r="J144" s="702"/>
      <c r="K144" s="702"/>
      <c r="L144" s="702"/>
      <c r="M144" s="702"/>
      <c r="N144" s="710"/>
      <c r="O144" s="711"/>
      <c r="P144" s="702"/>
      <c r="Q144" s="711"/>
      <c r="R144" s="702"/>
    </row>
    <row r="145" spans="1:18" ht="182.1" customHeight="1" x14ac:dyDescent="0.25">
      <c r="A145" s="675"/>
      <c r="B145" s="702"/>
      <c r="C145" s="702"/>
      <c r="D145" s="702"/>
      <c r="E145" s="702"/>
      <c r="F145" s="675"/>
      <c r="G145" s="702"/>
      <c r="H145" s="702"/>
      <c r="I145" s="702"/>
      <c r="J145" s="702"/>
      <c r="K145" s="702"/>
      <c r="L145" s="702"/>
      <c r="M145" s="702"/>
      <c r="N145" s="712"/>
      <c r="O145" s="711"/>
      <c r="P145" s="702"/>
      <c r="Q145" s="711"/>
      <c r="R145" s="702"/>
    </row>
    <row r="146" spans="1:18" ht="182.1" customHeight="1" x14ac:dyDescent="0.25">
      <c r="A146" s="675"/>
      <c r="B146" s="702"/>
      <c r="C146" s="702"/>
      <c r="D146" s="702"/>
      <c r="E146" s="702"/>
      <c r="F146" s="675"/>
      <c r="G146" s="702"/>
      <c r="H146" s="702"/>
      <c r="I146" s="702"/>
      <c r="J146" s="702"/>
      <c r="K146" s="702"/>
      <c r="L146" s="702"/>
      <c r="M146" s="702"/>
      <c r="N146" s="713"/>
      <c r="O146" s="711"/>
      <c r="P146" s="702"/>
      <c r="Q146" s="711"/>
      <c r="R146" s="702"/>
    </row>
    <row r="147" spans="1:18" ht="182.1" customHeight="1" x14ac:dyDescent="0.25">
      <c r="A147" s="675"/>
      <c r="B147" s="702"/>
      <c r="C147" s="702"/>
      <c r="D147" s="702"/>
      <c r="E147" s="702"/>
      <c r="F147" s="675"/>
      <c r="G147" s="702"/>
      <c r="H147" s="702"/>
      <c r="I147" s="702"/>
      <c r="J147" s="702"/>
      <c r="K147" s="702"/>
      <c r="L147" s="702"/>
      <c r="M147" s="702"/>
      <c r="N147" s="714"/>
      <c r="O147" s="711"/>
      <c r="P147" s="702"/>
      <c r="Q147" s="711"/>
      <c r="R147" s="702"/>
    </row>
    <row r="148" spans="1:18" ht="182.1" customHeight="1" x14ac:dyDescent="0.25">
      <c r="A148" s="675"/>
      <c r="B148" s="702"/>
      <c r="C148" s="702"/>
      <c r="D148" s="702"/>
      <c r="E148" s="702"/>
      <c r="F148" s="675"/>
      <c r="G148" s="702"/>
      <c r="H148" s="702"/>
      <c r="I148" s="702"/>
      <c r="J148" s="702"/>
      <c r="K148" s="702"/>
      <c r="L148" s="702"/>
      <c r="M148" s="702"/>
      <c r="N148" s="715"/>
      <c r="O148" s="711"/>
      <c r="P148" s="702"/>
      <c r="Q148" s="711"/>
      <c r="R148" s="702"/>
    </row>
    <row r="149" spans="1:18" ht="182.1" customHeight="1" x14ac:dyDescent="0.25">
      <c r="A149" s="675"/>
      <c r="B149" s="702"/>
      <c r="C149" s="702"/>
      <c r="D149" s="702"/>
      <c r="E149" s="702"/>
      <c r="F149" s="675"/>
      <c r="G149" s="702"/>
      <c r="H149" s="702"/>
      <c r="I149" s="702"/>
      <c r="J149" s="702"/>
      <c r="K149" s="702"/>
      <c r="L149" s="702"/>
      <c r="M149" s="702"/>
      <c r="N149" s="712"/>
      <c r="O149" s="711"/>
      <c r="P149" s="702"/>
      <c r="Q149" s="711"/>
      <c r="R149" s="702"/>
    </row>
    <row r="150" spans="1:18" ht="182.1" customHeight="1" x14ac:dyDescent="0.25">
      <c r="A150" s="675"/>
      <c r="B150" s="702"/>
      <c r="C150" s="702"/>
      <c r="D150" s="702"/>
      <c r="E150" s="702"/>
      <c r="F150" s="675"/>
      <c r="G150" s="702"/>
      <c r="H150" s="702"/>
      <c r="I150" s="702"/>
      <c r="J150" s="702"/>
      <c r="K150" s="702"/>
      <c r="L150" s="702"/>
      <c r="M150" s="702"/>
      <c r="N150" s="702"/>
      <c r="O150" s="711"/>
      <c r="P150" s="702"/>
      <c r="Q150" s="711"/>
      <c r="R150" s="702"/>
    </row>
    <row r="151" spans="1:18" ht="182.1" customHeight="1" x14ac:dyDescent="0.25">
      <c r="A151" s="675"/>
      <c r="B151" s="702"/>
      <c r="C151" s="702"/>
      <c r="D151" s="702"/>
      <c r="E151" s="702"/>
      <c r="F151" s="675"/>
      <c r="G151" s="702"/>
      <c r="H151" s="702"/>
      <c r="I151" s="702"/>
      <c r="J151" s="702"/>
      <c r="K151" s="702"/>
      <c r="L151" s="702"/>
      <c r="M151" s="702"/>
      <c r="N151" s="702"/>
      <c r="O151" s="711"/>
      <c r="P151" s="702"/>
      <c r="Q151" s="711"/>
      <c r="R151" s="702"/>
    </row>
    <row r="152" spans="1:18" ht="182.1" customHeight="1" x14ac:dyDescent="0.25">
      <c r="A152" s="675"/>
      <c r="B152" s="702"/>
      <c r="C152" s="702"/>
      <c r="D152" s="702"/>
      <c r="E152" s="702"/>
      <c r="F152" s="675"/>
      <c r="G152" s="702"/>
      <c r="H152" s="702"/>
      <c r="I152" s="702"/>
      <c r="J152" s="702"/>
      <c r="K152" s="702"/>
      <c r="L152" s="702"/>
      <c r="M152" s="702"/>
      <c r="N152" s="712"/>
      <c r="O152" s="716"/>
      <c r="P152" s="702"/>
      <c r="Q152" s="711"/>
      <c r="R152" s="702"/>
    </row>
    <row r="153" spans="1:18" ht="182.1" customHeight="1" x14ac:dyDescent="0.25">
      <c r="A153" s="675"/>
      <c r="B153" s="702"/>
      <c r="C153" s="702"/>
      <c r="D153" s="702"/>
      <c r="E153" s="702"/>
      <c r="F153" s="675"/>
      <c r="G153" s="702"/>
      <c r="H153" s="702"/>
      <c r="I153" s="702"/>
      <c r="J153" s="702"/>
      <c r="K153" s="702"/>
      <c r="L153" s="702"/>
      <c r="M153" s="702"/>
      <c r="N153" s="714"/>
      <c r="O153" s="711"/>
      <c r="P153" s="702"/>
      <c r="Q153" s="711"/>
      <c r="R153" s="702"/>
    </row>
    <row r="154" spans="1:18" ht="182.1" customHeight="1" x14ac:dyDescent="0.25">
      <c r="A154" s="675"/>
      <c r="B154" s="702"/>
      <c r="C154" s="702"/>
      <c r="D154" s="702"/>
      <c r="E154" s="702"/>
      <c r="F154" s="675"/>
      <c r="G154" s="702"/>
      <c r="H154" s="702"/>
      <c r="I154" s="702"/>
      <c r="J154" s="702"/>
      <c r="K154" s="702"/>
      <c r="L154" s="702"/>
      <c r="M154" s="702"/>
      <c r="N154" s="717"/>
      <c r="O154" s="711"/>
      <c r="P154" s="702"/>
      <c r="Q154" s="711"/>
      <c r="R154" s="702"/>
    </row>
  </sheetData>
  <sheetProtection autoFilter="0"/>
  <protectedRanges>
    <protectedRange algorithmName="SHA-512" hashValue="P4MVk1fytdnCXJ8+E/nMh5fSp+GruS97tn1pG6/F2sivFyIUKNMtB7/XA5PUlJ7kDdHrbA3rOjlnTj5TVFrI2A==" saltValue="b497cddG8fFJ3o8yWjWvhg==" spinCount="100000" sqref="Y1:AF1048576" name="Financiera CDP"/>
    <protectedRange algorithmName="SHA-512" hashValue="L/RkB/sHR60u7CQge2CY1z4GJmHeQGCzNIUwDSsIds4AgUKOr8SmnNRNonDDpFqLzqrkRIPrXEB93FH6BkjhyQ==" saltValue="mrD0LMZbjtv8LUFevaYdIg==" spinCount="100000" sqref="X1:X1048576" name="Observaciones"/>
    <protectedRange algorithmName="SHA-512" hashValue="Y8UPHcligHAoxGCDjXNkyNxdjucOStIjAXWFYOzAx+0BYMe/711WTU4z6BDQL3Bf1uU4AAXId600tMWlOjf5UQ==" saltValue="XVWAhnXb9T7BtyeH1H/DRg==" spinCount="100000" sqref="W1:W1048576" name="Contratos EP"/>
    <protectedRange algorithmName="SHA-512" hashValue="LStp3VDViT4Dn4ucXS5/fY/6yqUaLbzHXxvOhgzNnPp25FS9RvFT8x8CSOixEsU1bbFGPtX4LBQi/C/roMkAhQ==" saltValue="8+qJWrfbkkU7gvXszO/V8Q==" spinCount="100000" sqref="V1:V1048576" name="Financiera EP"/>
    <protectedRange algorithmName="SHA-512" hashValue="64P8kcGOvSNkCa4M1uzll32J9Zq9IQj4BJixIww6MqBhbP4Ou8ezNPFAgY5oV7l//V+P8xlqh46RcyPOYcrtCg==" saltValue="k1uPktGkFh+ms0b5pnn07A==" spinCount="100000" sqref="U1:U1048576" name="Planeación EP"/>
    <protectedRange algorithmName="SHA-512" hashValue="UBQPzcS0HtKbwcHlcfKqGptLjeNpcWdRXmnylqw5OIbs636MsNy06mojpNT1+0zVkOrw9GKsJyhUTP8f3wZ94w==" saltValue="WEsj+Kaf/Tlto5vV/OBkMQ==" spinCount="100000" sqref="A1:T1048576" name="Planeación control general"/>
  </protectedRanges>
  <autoFilter ref="A2:R144" xr:uid="{2118DAF5-1B25-994D-941A-2E5231BB8AF4}"/>
  <dataValidations count="7">
    <dataValidation type="list" allowBlank="1" showInputMessage="1" showErrorMessage="1" sqref="K29 K65567 K131103 K196639 K262175 K327711 K393247 K458783 K524319 K589855 K655391 K720927 K786463 K851999 K917535 K983071 K27 K65565 K131101 K196637 K262173 K327709 K393245 K458781 K524317 K589853 K655389 K720925 K786461 K851997 K917533 K983069 K31:K33 K65569:K65571 K131105:K131107 K196641:K196643 K262177:K262179 K327713:K327715 K393249:K393251 K458785:K458787 K524321:K524323 K589857:K589859 K655393:K655395 K720929:K720931 K786465:K786467 K852001:K852003 K917537:K917539 K983073:K983075 K35 K65573 K131109 K196645 K262181 K327717 K393253 K458789 K524325 K589861 K655397 K720933 K786469 K852005 K917541 K983077 K38 K65576 K131112 K196648 K262184 K327720 K393256 K458792 K524328 K589864 K655400 K720936 K786472 K852008 K917544 K983080 K40:K62 K65578:K65600 K131114:K131136 K196650:K196672 K262186:K262208 K327722:K327744 K393258:K393280 K458794:K458816 K524330:K524352 K589866:K589888 K655402:K655424 K720938:K720960 K786474:K786496 K852010:K852032 K917546:K917568 K983082:K983104" xr:uid="{AAF2DEE9-7C62-264F-B891-9CFEDAE7E480}">
      <formula1>FUENTE_DE_LOS_RECURSOS</formula1>
    </dataValidation>
    <dataValidation type="list" allowBlank="1" showInputMessage="1" showErrorMessage="1" sqref="C115:C436 C65651:C65972 C131187:C131508 C196723:C197044 C262259:C262580 C327795:C328116 C393331:C393652 C458867:C459188 C524403:C524724 C589939:C590260 C655475:C655796 C721011:C721332 C786547:C786868 C852083:C852404 C917619:C917940 C983155:C983476 C65541:C65649 C131077:C131185 C196613:C196721 C262149:C262257 C327685:C327793 C393221:C393329 C458757:C458865 C524293:C524401 C589829:C589937 C655365:C655473 C720901:C721009 C786437:C786545 C851973:C852081 C917509:C917617 C983045:C983153 C3:C113" xr:uid="{500F249B-3B50-0D4E-B49B-071650AC22EF}">
      <formula1>PROCESOS</formula1>
    </dataValidation>
    <dataValidation type="list" allowBlank="1" showInputMessage="1" showErrorMessage="1" sqref="B129:B131 B65665:B65667 B131201:B131203 B196737:B196739 B262273:B262275 B327809:B327811 B393345:B393347 B458881:B458883 B524417:B524419 B589953:B589955 B655489:B655491 B721025:B721027 B786561:B786563 B852097:B852099 B917633:B917635 B983169:B983171 B65541:B65649 B131077:B131185 B196613:B196721 B262149:B262257 B327685:B327793 B393221:B393329 B458757:B458865 B524293:B524401 B589829:B589937 B655365:B655473 B720901:B721009 B786437:B786545 B851973:B852081 B917509:B917617 B983045:B983153 B3:B113" xr:uid="{5B6CDDAE-C60F-364A-A201-D91EF3A7822D}">
      <formula1>SUBDIRECCIÓN</formula1>
    </dataValidation>
    <dataValidation type="list" allowBlank="1" showInputMessage="1" showErrorMessage="1" sqref="F983069:F983070 F917533:F917534 F851997:F851998 F786461:F786462 F720925:F720926 F655389:F655390 F589853:F589854 F524317:F524318 F458781:F458782 F393245:F393246 F327709:F327710 F262173:F262174 F196637:F196638 F131101:F131102 F65565:F65566" xr:uid="{DA0AE1CC-1AFB-5E4A-A235-1A17B65DD361}">
      <formula1>MESES</formula1>
    </dataValidation>
    <dataValidation type="list" allowBlank="1" showInputMessage="1" showErrorMessage="1" sqref="J131 J65667 J131203 J196739 J262275 J327811 J393347 J458883 J524419 J589955 J655491 J721027 J786563 J852099 J917635 J983171 J65565:J65605 J131101:J131141 J196637:J196677 J262173:J262213 J327709:J327749 J393245:J393285 J458781:J458821 J524317:J524357 J589853:J589893 J655389:J655429 J720925:J720965 J786461:J786501 J851997:J852037 J917533:J917573 J983069:J983109 J85:J92 J65621:J65628 J131157:J131164 J196693:J196700 J262229:J262236 J327765:J327772 J393301:J393308 J458837:J458844 J524373:J524380 J589909:J589916 J655445:J655452 J720981:J720988 J786517:J786524 J852053:J852060 J917589:J917596 J983125:J983132 J27:J67" xr:uid="{44380BDC-A0C3-914C-887F-115A8DD23821}">
      <formula1>MODALIDAD_DE_CONTRATACIÓN</formula1>
    </dataValidation>
    <dataValidation type="list" allowBlank="1" showInputMessage="1" showErrorMessage="1" sqref="I131 I65667 I131203 I196739 I262275 I327811 I393347 I458883 I524419 I589955 I655491 I721027 I786563 I852099 I917635 I983171 I27:I62 I65565:I65600 I131101:I131136 I196637:I196672 I262173:I262208 I327709:I327744 I393245:I393280 I458781:I458816 I524317:I524352 I589853:I589888 I655389:I655424 I720925:I720960 I786461:I786496 I851997:I852032 I917533:I917568 I983069:I983104" xr:uid="{1C19AD9E-8474-5047-B8D2-CD5C3F309D7E}">
      <formula1>(DÍAS)</formula1>
    </dataValidation>
    <dataValidation type="list" allowBlank="1" showInputMessage="1" showErrorMessage="1" sqref="H65565:H65600 H27:H62 H196637:H196672 H262173:H262208 H327709:H327744 H393245:H393280 H458781:H458816 H524317:H524352 H589853:H589888 H655389:H655424 H720925:H720960 H786461:H786496 H851997:H852032 H917533:H917568 H983069:H983104 H115:H166 H65651:H65702 H131187:H131238 H196723:H196774 H262259:H262310 H327795:H327846 H393331:H393382 H458867:H458918 H524403:H524454 H589939:H589990 H655475:H655526 H721011:H721062 H786547:H786598 H852083:H852134 H917619:H917670 H983155:H983206 H131101:H131136" xr:uid="{4A8065CF-981D-674F-BC07-2D007BA8038A}">
      <formula1>INDIRECT(#REF!)</formula1>
    </dataValidation>
  </dataValidations>
  <hyperlinks>
    <hyperlink ref="A2" r:id="rId1" xr:uid="{388B98CC-DDBF-7642-B48A-F5A78C7558BA}"/>
    <hyperlink ref="Q28" r:id="rId2" xr:uid="{C651C7FC-E784-A942-87F2-BB6725686EB4}"/>
    <hyperlink ref="Q30" r:id="rId3" xr:uid="{375687B1-3F5C-3548-AF89-87ED40878039}"/>
    <hyperlink ref="Q32" r:id="rId4" xr:uid="{213ABEF1-5A60-1941-8A30-D858B187B123}"/>
    <hyperlink ref="Q38" r:id="rId5" xr:uid="{4F0FEBD7-A182-A04D-B5B0-23AFB3CF40A9}"/>
    <hyperlink ref="Q40" r:id="rId6" xr:uid="{973FB31E-3A59-F24C-AAFD-1512D1676378}"/>
    <hyperlink ref="Q43" r:id="rId7" xr:uid="{6A9A366D-2438-8E48-8553-FBA61D5AD553}"/>
    <hyperlink ref="Q45" r:id="rId8" xr:uid="{500516FE-C4FD-2947-B41C-326190FE48F1}"/>
    <hyperlink ref="Q47" r:id="rId9" xr:uid="{4B4A7CCA-57BC-F943-8B3E-4876454205E0}"/>
    <hyperlink ref="Q48" r:id="rId10" xr:uid="{21271B6D-A679-4644-98E9-DAB7F8607C97}"/>
    <hyperlink ref="Q50" r:id="rId11" xr:uid="{FCA47680-D856-7547-9BBD-17F848037460}"/>
    <hyperlink ref="Q51" r:id="rId12" xr:uid="{BE508CCB-6F2E-0349-BD0E-966D748E8557}"/>
    <hyperlink ref="Q52" r:id="rId13" xr:uid="{16A07DCC-8836-AF48-A2DC-C229FDD837FF}"/>
    <hyperlink ref="Q53" r:id="rId14" xr:uid="{4E64DA52-2CA3-9F43-A49A-9AA4940B0655}"/>
    <hyperlink ref="Q54" r:id="rId15" xr:uid="{925841F8-78A8-1E45-A9CC-61892393D8E6}"/>
    <hyperlink ref="Q55" r:id="rId16" xr:uid="{E024DE9A-C090-9445-83EE-40A9057ECCE9}"/>
    <hyperlink ref="Q57" r:id="rId17" xr:uid="{2ACEA6E9-06DA-1143-97E1-A1912825F823}"/>
    <hyperlink ref="Q58:Q62" r:id="rId18" display="andres.coy@caroycuervo.gov.co" xr:uid="{DDBB2361-20B8-584C-8176-551CC828DA56}"/>
    <hyperlink ref="Q63" r:id="rId19" xr:uid="{0F1ACE1E-3B56-6646-A399-BCD1B0134012}"/>
    <hyperlink ref="Q112" r:id="rId20" xr:uid="{886CB432-B171-304C-82AF-D85A07442EC2}"/>
    <hyperlink ref="Q128" r:id="rId21" xr:uid="{1054F599-88EC-C748-BEF9-A3ABF4DD018C}"/>
    <hyperlink ref="Q127" r:id="rId22" xr:uid="{3AC1AF31-5510-D74A-8916-D3F69A5FD15C}"/>
    <hyperlink ref="Q34" r:id="rId23" xr:uid="{3549B164-EFB8-EE4F-83CB-911BE258956A}"/>
    <hyperlink ref="Q36" r:id="rId24" xr:uid="{3156BF5A-6133-1B4D-BF2D-77E909FC480B}"/>
    <hyperlink ref="Q130" r:id="rId25" xr:uid="{BACF72EF-57F9-374D-AC08-7EE4A3CAB250}"/>
    <hyperlink ref="Q135:Q136" r:id="rId26" display="auris.mendoza@caroycuervo.gov.co" xr:uid="{2239921B-51BF-F448-819C-6F87CE9C6BE1}"/>
    <hyperlink ref="Q26" r:id="rId27" xr:uid="{B5352B91-DC1D-684F-976A-92E415332823}"/>
    <hyperlink ref="Q133" r:id="rId28" xr:uid="{6188504E-1E3D-4D43-87FD-00E2C1DE054F}"/>
    <hyperlink ref="Q78" r:id="rId29" xr:uid="{64CF22E8-95C0-CC47-89B4-0975F014B43C}"/>
    <hyperlink ref="Q68" r:id="rId30" xr:uid="{0C7F4A7C-CB0A-CB4C-AF6C-C0C1A6311E2C}"/>
    <hyperlink ref="Q71" r:id="rId31" xr:uid="{C1F7B3C3-4BC4-2942-93CA-AEE21B627010}"/>
    <hyperlink ref="Q31" r:id="rId32" xr:uid="{3CFC08F0-9615-3340-964C-F8804CDBE3C8}"/>
    <hyperlink ref="Q129" r:id="rId33" xr:uid="{496DE009-DC92-644E-8C7A-B9CCA5A0AF2D}"/>
    <hyperlink ref="Q107" r:id="rId34" xr:uid="{8F5727B8-F828-6A4C-9F77-B790B46E311A}"/>
    <hyperlink ref="Q109" r:id="rId35" xr:uid="{28DCF89F-5D9C-054A-9780-5C199D347A2D}"/>
    <hyperlink ref="Q33" r:id="rId36" xr:uid="{3D4C0456-5E67-1948-9226-472CF3EB55A1}"/>
    <hyperlink ref="Q27" r:id="rId37" xr:uid="{0AA2784D-0BDF-7D4E-8A5E-90F9C9D0D4B7}"/>
    <hyperlink ref="Q29" r:id="rId38" xr:uid="{51E1DA3E-AF11-5749-9899-0F0663E399FD}"/>
    <hyperlink ref="Q35" r:id="rId39" xr:uid="{5076E6FB-45DB-094C-819A-292E6C1A9D60}"/>
    <hyperlink ref="Q44" r:id="rId40" xr:uid="{F48D13DD-DB10-A446-8D2A-914F172F4624}"/>
    <hyperlink ref="Q46" r:id="rId41" xr:uid="{A2BEDC19-A000-9346-AE16-ABB89A55FBAC}"/>
    <hyperlink ref="Q56" r:id="rId42" xr:uid="{B603A494-8CE1-014F-A628-C3BE45EE242A}"/>
    <hyperlink ref="Q42" r:id="rId43" xr:uid="{66A08D60-B480-1B4B-AAD2-82A98B9E5E90}"/>
    <hyperlink ref="Q41" r:id="rId44" xr:uid="{8E47B4AD-A8D5-CF41-9267-EA9AEBD11DBE}"/>
    <hyperlink ref="Q79" r:id="rId45" xr:uid="{9C50C27A-ED49-E340-916F-F0856A6371B0}"/>
    <hyperlink ref="Q72" r:id="rId46" xr:uid="{C6C854B8-7DBB-D54B-A0F0-FAE6412620A8}"/>
    <hyperlink ref="Q69" r:id="rId47" xr:uid="{DF841774-DE34-7840-BE29-95D706BDBBA0}"/>
    <hyperlink ref="Q37" r:id="rId48" xr:uid="{F005661D-E133-1144-90BD-12A2595ABF2E}"/>
    <hyperlink ref="Q39" r:id="rId49" xr:uid="{02A81472-D936-F045-A2EB-7193C94F3AE1}"/>
    <hyperlink ref="Q74" r:id="rId50" xr:uid="{F808B943-EDDD-8247-A555-B6449975F340}"/>
    <hyperlink ref="Q134" r:id="rId51" display="auris.mendoza@caroycuervo.gov.co" xr:uid="{BABF3252-AD02-DD40-84BB-580709049EE9}"/>
    <hyperlink ref="Q49" r:id="rId52" xr:uid="{22825148-7B5E-7D4A-86F6-995FE178986F}"/>
    <hyperlink ref="Q59" r:id="rId53" xr:uid="{5C52208E-D2D0-854C-B1AF-E548FD9D2900}"/>
    <hyperlink ref="Q83" r:id="rId54" xr:uid="{9831984A-050D-2A49-866A-B1BC478F4A06}"/>
    <hyperlink ref="Q84" r:id="rId55" xr:uid="{0B51ED26-9FDA-4843-9FDA-D3CDC3B6A8E7}"/>
    <hyperlink ref="Q85" r:id="rId56" xr:uid="{53CE2221-7826-7C4F-8877-C82859ED9322}"/>
    <hyperlink ref="Q86" r:id="rId57" xr:uid="{B0C65054-ECB6-A44C-8BCC-BA5014B3BC9B}"/>
    <hyperlink ref="Q87" r:id="rId58" xr:uid="{15EA6BED-56CF-C94E-89F8-F8A5A002D001}"/>
    <hyperlink ref="Q88" r:id="rId59" xr:uid="{05F65F4F-19C5-294E-ACEB-ED600DE05652}"/>
    <hyperlink ref="Q91" r:id="rId60" xr:uid="{80E02C67-5DC2-0840-9BB3-52F9AC266762}"/>
    <hyperlink ref="Q90" r:id="rId61" xr:uid="{DBA773B3-5070-B047-9839-F72B862532DD}"/>
    <hyperlink ref="Q93" r:id="rId62" xr:uid="{5B16470A-74A1-E740-B70F-4DEDAF8B01F7}"/>
    <hyperlink ref="Q95" r:id="rId63" xr:uid="{58395D55-4409-0142-B5A0-604DE7CB649B}"/>
    <hyperlink ref="Q98" r:id="rId64" xr:uid="{2B3F8D6A-01B3-0544-B660-8D0DEF1E2EA1}"/>
    <hyperlink ref="Q99" r:id="rId65" xr:uid="{7F7514B0-3825-0046-84E2-9E7D6F0A4397}"/>
    <hyperlink ref="Q111" r:id="rId66" xr:uid="{46600C99-4F1F-8746-A122-57F25927B495}"/>
    <hyperlink ref="Q126" r:id="rId67" xr:uid="{963260F1-9C63-5743-9A1B-B18D5FEDE489}"/>
    <hyperlink ref="Q124" r:id="rId68" xr:uid="{E45072C6-EDE8-004D-A8D5-A86B59392E53}"/>
    <hyperlink ref="Q125" r:id="rId69" xr:uid="{A170FB85-57F4-DB4D-8970-693C4180F423}"/>
    <hyperlink ref="Q123" r:id="rId70" xr:uid="{DB50F976-A2D5-444C-8D82-5CEB3F9E3344}"/>
    <hyperlink ref="Q122" r:id="rId71" xr:uid="{D19F647E-FC2D-2048-973C-33AE040DB6C2}"/>
    <hyperlink ref="Q120" r:id="rId72" xr:uid="{7114C770-7015-704D-A6CE-6C767E581037}"/>
    <hyperlink ref="Q121" r:id="rId73" xr:uid="{A7997243-9343-E546-8541-2175ED23D60A}"/>
    <hyperlink ref="Q119" r:id="rId74" xr:uid="{5B9A1C6A-9F9F-624E-A7E1-96F1E3E897F5}"/>
    <hyperlink ref="Q118" r:id="rId75" xr:uid="{6A0091C3-E7D0-FD4A-B95B-157CDE27BF3D}"/>
    <hyperlink ref="Q116" r:id="rId76" xr:uid="{81C19827-0786-A248-82D1-AFD5B6562FDF}"/>
    <hyperlink ref="Q117" r:id="rId77" xr:uid="{75D28135-8A56-374B-8495-B35CAC3F19D8}"/>
    <hyperlink ref="Q115" r:id="rId78" xr:uid="{0921BC9A-4660-A040-BC4B-9082599C35D1}"/>
    <hyperlink ref="Q25" r:id="rId79" xr:uid="{8BBC7638-EF96-7F45-BFC5-9AC369048D7C}"/>
    <hyperlink ref="Q24" r:id="rId80" xr:uid="{7EC52DB8-29ED-B847-99B8-47991D2DEF01}"/>
    <hyperlink ref="Q23" r:id="rId81" xr:uid="{8C9C72EA-9BCC-FF46-BF59-AA1740630756}"/>
    <hyperlink ref="Q22" r:id="rId82" xr:uid="{65A52DAF-5D12-604D-9472-F8B5B4D8A1C3}"/>
    <hyperlink ref="Q21" r:id="rId83" xr:uid="{B984E717-BBC9-6A4B-8DE5-D35F7AAC2F1E}"/>
    <hyperlink ref="Q20" r:id="rId84" xr:uid="{07495409-B98D-374F-A219-62E8A15458A2}"/>
    <hyperlink ref="Q19" r:id="rId85" xr:uid="{5A8E2D47-8462-294A-971C-BB9FF4A025FB}"/>
    <hyperlink ref="Q18" r:id="rId86" xr:uid="{7E38BF60-BE50-F048-B5DC-C45AC1A85EFA}"/>
    <hyperlink ref="Q17" r:id="rId87" xr:uid="{5AE21172-0476-C649-8630-C1B03F442AC1}"/>
    <hyperlink ref="Q16" r:id="rId88" xr:uid="{C7C594AB-61F8-F94E-B2AF-C3B87F5C982D}"/>
    <hyperlink ref="Q15" r:id="rId89" xr:uid="{B8FEE236-8D6B-1542-AB07-392B35A6A07B}"/>
    <hyperlink ref="Q14" r:id="rId90" xr:uid="{1A90B62F-ABEF-2D42-9428-1A753B1D5AA1}"/>
    <hyperlink ref="Q13" r:id="rId91" xr:uid="{D323CC5F-52C1-194F-8008-E6F123D7B16B}"/>
    <hyperlink ref="Q12" r:id="rId92" xr:uid="{FB24472F-DC9D-F647-820B-5FF7DB8867B0}"/>
    <hyperlink ref="Q11" r:id="rId93" xr:uid="{376CC5F9-4708-5340-B10C-5A236E0F1B5A}"/>
    <hyperlink ref="Q10" r:id="rId94" xr:uid="{356FD48B-F343-E447-B1BF-283A94BAD130}"/>
    <hyperlink ref="Q9" r:id="rId95" xr:uid="{25C23045-B2F9-6546-8F56-C09A9105B914}"/>
    <hyperlink ref="Q8" r:id="rId96" xr:uid="{0D5B13DA-726F-834D-870A-292E7E61B721}"/>
    <hyperlink ref="Q7" r:id="rId97" xr:uid="{03362531-4A08-F948-9355-F7DA71F948D9}"/>
    <hyperlink ref="Q6" r:id="rId98" xr:uid="{292AD0EC-43D0-5D44-A401-CD9150292109}"/>
    <hyperlink ref="Q5" r:id="rId99" xr:uid="{016E0740-C4A9-D946-AF7E-B0366AA85405}"/>
    <hyperlink ref="Q4" r:id="rId100" xr:uid="{1711D912-A0DE-044A-B124-5705B5544153}"/>
    <hyperlink ref="Q3" r:id="rId101" xr:uid="{3B9B7096-D130-DF44-9E49-A33C46576740}"/>
    <hyperlink ref="Q81" r:id="rId102" xr:uid="{3B2EAE65-DFCE-42F9-97DB-005457AD5701}"/>
    <hyperlink ref="Q82" r:id="rId103" xr:uid="{A0980066-4278-47A2-A79A-C2FB5C2E9C8D}"/>
  </hyperlinks>
  <pageMargins left="0.7" right="0.7" top="0.75" bottom="0.75" header="0.3" footer="0.3"/>
  <pageSetup orientation="portrait" r:id="rId104"/>
  <drawing r:id="rId105"/>
  <legacyDrawing r:id="rId10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A18A8-FDCB-8C46-921C-5EBA2978CCD9}">
  <sheetPr>
    <tabColor theme="6" tint="0.39997558519241921"/>
  </sheetPr>
  <dimension ref="A3:NG96"/>
  <sheetViews>
    <sheetView topLeftCell="A71" zoomScaleNormal="100" workbookViewId="0">
      <selection activeCell="B91" sqref="B91"/>
    </sheetView>
  </sheetViews>
  <sheetFormatPr baseColWidth="10" defaultColWidth="0" defaultRowHeight="15" outlineLevelCol="1" x14ac:dyDescent="0.25"/>
  <cols>
    <col min="1" max="1" width="138.7109375" bestFit="1" customWidth="1"/>
    <col min="2" max="2" width="31.28515625" bestFit="1" customWidth="1"/>
    <col min="3" max="3" width="26.42578125" bestFit="1" customWidth="1"/>
    <col min="4" max="4" width="15" hidden="1" customWidth="1"/>
    <col min="5" max="5" width="31.85546875" hidden="1" customWidth="1" outlineLevel="1"/>
    <col min="6" max="7" width="17.85546875" hidden="1" customWidth="1"/>
    <col min="8" max="9" width="7.140625" hidden="1" customWidth="1"/>
    <col min="10" max="10" width="10.140625" hidden="1" customWidth="1"/>
    <col min="11" max="13" width="7.140625" hidden="1" customWidth="1"/>
    <col min="14" max="30" width="8.140625" hidden="1" customWidth="1"/>
    <col min="31" max="31" width="10.140625" hidden="1" customWidth="1"/>
    <col min="32" max="60" width="8.140625" hidden="1" customWidth="1"/>
    <col min="61" max="61" width="11.140625" hidden="1" customWidth="1"/>
    <col min="62" max="74" width="8.140625" hidden="1" customWidth="1"/>
    <col min="75" max="89" width="9.140625" hidden="1" customWidth="1"/>
    <col min="90" max="90" width="12.140625" hidden="1" customWidth="1"/>
    <col min="91" max="106" width="9.140625" hidden="1" customWidth="1"/>
    <col min="107" max="107" width="12.140625" hidden="1" customWidth="1"/>
    <col min="108" max="125" width="9.140625" hidden="1" customWidth="1"/>
    <col min="126" max="126" width="12.140625" hidden="1" customWidth="1"/>
    <col min="127" max="135" width="9.140625" hidden="1" customWidth="1"/>
    <col min="136" max="136" width="12.140625" hidden="1" customWidth="1"/>
    <col min="137" max="156" width="9.140625" hidden="1" customWidth="1"/>
    <col min="157" max="157" width="12.140625" hidden="1" customWidth="1"/>
    <col min="158" max="168" width="9.140625" hidden="1" customWidth="1"/>
    <col min="169" max="169" width="12.140625" hidden="1" customWidth="1"/>
    <col min="170" max="170" width="11.140625" hidden="1" customWidth="1"/>
    <col min="171" max="171" width="12.140625" hidden="1" customWidth="1"/>
    <col min="172" max="175" width="9.140625" hidden="1" customWidth="1"/>
    <col min="176" max="176" width="12.140625" hidden="1" customWidth="1"/>
    <col min="177" max="183" width="9.140625" hidden="1" customWidth="1"/>
    <col min="184" max="184" width="10.140625" hidden="1" customWidth="1"/>
    <col min="185" max="185" width="9.7109375" hidden="1" customWidth="1"/>
    <col min="186" max="186" width="11.140625" hidden="1" customWidth="1"/>
    <col min="187" max="192" width="7.140625" hidden="1" customWidth="1"/>
    <col min="193" max="193" width="8.140625" hidden="1" customWidth="1"/>
    <col min="194" max="194" width="10.140625" hidden="1" customWidth="1"/>
    <col min="195" max="196" width="8.140625" hidden="1" customWidth="1"/>
    <col min="197" max="197" width="7.140625" hidden="1" customWidth="1"/>
    <col min="198" max="214" width="8.140625" hidden="1" customWidth="1"/>
    <col min="215" max="215" width="10.140625" hidden="1" customWidth="1"/>
    <col min="216" max="216" width="8.140625" hidden="1" customWidth="1"/>
    <col min="217" max="217" width="9.140625" hidden="1" customWidth="1"/>
    <col min="218" max="227" width="8.140625" hidden="1" customWidth="1"/>
    <col min="228" max="229" width="9.140625" hidden="1" customWidth="1"/>
    <col min="230" max="235" width="8.140625" hidden="1" customWidth="1"/>
    <col min="236" max="236" width="9.140625" hidden="1" customWidth="1"/>
    <col min="237" max="238" width="8.140625" hidden="1" customWidth="1"/>
    <col min="239" max="241" width="9.140625" hidden="1" customWidth="1"/>
    <col min="242" max="244" width="8.140625" hidden="1" customWidth="1"/>
    <col min="245" max="245" width="12.140625" hidden="1" customWidth="1"/>
    <col min="246" max="249" width="8.140625" hidden="1" customWidth="1"/>
    <col min="250" max="250" width="9.140625" hidden="1" customWidth="1"/>
    <col min="251" max="252" width="8.140625" hidden="1" customWidth="1"/>
    <col min="253" max="253" width="9.140625" hidden="1" customWidth="1"/>
    <col min="254" max="256" width="8.140625" hidden="1" customWidth="1"/>
    <col min="257" max="257" width="9.140625" hidden="1" customWidth="1"/>
    <col min="258" max="258" width="8.140625" hidden="1" customWidth="1"/>
    <col min="259" max="273" width="9.140625" hidden="1" customWidth="1"/>
    <col min="274" max="274" width="12.140625" hidden="1" customWidth="1"/>
    <col min="275" max="282" width="9.140625" hidden="1" customWidth="1"/>
    <col min="283" max="283" width="10.140625" hidden="1" customWidth="1"/>
    <col min="284" max="290" width="9.140625" hidden="1" customWidth="1"/>
    <col min="291" max="291" width="12.140625" hidden="1" customWidth="1"/>
    <col min="292" max="295" width="9.140625" hidden="1" customWidth="1"/>
    <col min="296" max="296" width="10.140625" hidden="1" customWidth="1"/>
    <col min="297" max="309" width="9.140625" hidden="1" customWidth="1"/>
    <col min="310" max="310" width="12.140625" hidden="1" customWidth="1"/>
    <col min="311" max="319" width="9.140625" hidden="1" customWidth="1"/>
    <col min="320" max="320" width="12.140625" hidden="1" customWidth="1"/>
    <col min="321" max="330" width="9.140625" hidden="1" customWidth="1"/>
    <col min="331" max="331" width="10.140625" hidden="1" customWidth="1"/>
    <col min="332" max="333" width="9.140625" hidden="1" customWidth="1"/>
    <col min="334" max="334" width="10.140625" hidden="1" customWidth="1"/>
    <col min="335" max="338" width="9.140625" hidden="1" customWidth="1"/>
    <col min="339" max="340" width="10.140625" hidden="1" customWidth="1"/>
    <col min="341" max="341" width="12.140625" hidden="1" customWidth="1"/>
    <col min="342" max="342" width="9.140625" hidden="1" customWidth="1"/>
    <col min="343" max="343" width="10.140625" hidden="1" customWidth="1"/>
    <col min="344" max="347" width="9.140625" hidden="1" customWidth="1"/>
    <col min="348" max="348" width="10.140625" hidden="1" customWidth="1"/>
    <col min="349" max="352" width="9.140625" hidden="1" customWidth="1"/>
    <col min="353" max="353" width="12.140625" hidden="1" customWidth="1"/>
    <col min="354" max="354" width="11.140625" hidden="1" customWidth="1"/>
    <col min="355" max="355" width="12.140625" hidden="1" customWidth="1"/>
    <col min="356" max="358" width="9.140625" hidden="1" customWidth="1"/>
    <col min="359" max="359" width="10.140625" hidden="1" customWidth="1"/>
    <col min="360" max="360" width="12.140625" hidden="1" customWidth="1"/>
    <col min="361" max="361" width="10.140625" hidden="1" customWidth="1"/>
    <col min="362" max="367" width="9.140625" hidden="1" customWidth="1"/>
    <col min="368" max="368" width="10.140625" hidden="1" customWidth="1"/>
    <col min="369" max="369" width="9.7109375" hidden="1" customWidth="1"/>
    <col min="370" max="370" width="17.85546875" hidden="1" customWidth="1"/>
    <col min="371" max="371" width="31.85546875" hidden="1" customWidth="1"/>
    <col min="372" max="16384" width="10.85546875" hidden="1"/>
  </cols>
  <sheetData>
    <row r="3" spans="1:2" x14ac:dyDescent="0.25">
      <c r="A3" s="37" t="s">
        <v>0</v>
      </c>
      <c r="B3" t="s">
        <v>716</v>
      </c>
    </row>
    <row r="4" spans="1:2" x14ac:dyDescent="0.25">
      <c r="A4" s="38" t="s">
        <v>270</v>
      </c>
      <c r="B4" s="82">
        <v>49000000</v>
      </c>
    </row>
    <row r="5" spans="1:2" x14ac:dyDescent="0.25">
      <c r="A5" s="38" t="s">
        <v>162</v>
      </c>
      <c r="B5" s="82">
        <v>332425334.0454545</v>
      </c>
    </row>
    <row r="6" spans="1:2" x14ac:dyDescent="0.25">
      <c r="A6" s="38" t="s">
        <v>117</v>
      </c>
      <c r="B6" s="82">
        <v>251085468</v>
      </c>
    </row>
    <row r="7" spans="1:2" x14ac:dyDescent="0.25">
      <c r="A7" s="38" t="s">
        <v>182</v>
      </c>
      <c r="B7" s="82">
        <v>352974334.22727269</v>
      </c>
    </row>
    <row r="8" spans="1:2" x14ac:dyDescent="0.25">
      <c r="A8" s="38" t="s">
        <v>59</v>
      </c>
      <c r="B8" s="82">
        <v>1828867965.71</v>
      </c>
    </row>
    <row r="9" spans="1:2" x14ac:dyDescent="0.25">
      <c r="A9" s="38" t="s">
        <v>105</v>
      </c>
      <c r="B9" s="82">
        <v>255668927</v>
      </c>
    </row>
    <row r="10" spans="1:2" x14ac:dyDescent="0.25">
      <c r="A10" s="38" t="s">
        <v>271</v>
      </c>
      <c r="B10" s="82">
        <v>107888089.43478261</v>
      </c>
    </row>
    <row r="11" spans="1:2" x14ac:dyDescent="0.25">
      <c r="A11" s="38" t="s">
        <v>170</v>
      </c>
      <c r="B11" s="82">
        <v>218149215</v>
      </c>
    </row>
    <row r="12" spans="1:2" x14ac:dyDescent="0.25">
      <c r="A12" s="38" t="s">
        <v>287</v>
      </c>
      <c r="B12" s="82">
        <v>507394789</v>
      </c>
    </row>
    <row r="13" spans="1:2" x14ac:dyDescent="0.25">
      <c r="A13" s="38" t="s">
        <v>94</v>
      </c>
      <c r="B13" s="82">
        <v>735807926</v>
      </c>
    </row>
    <row r="14" spans="1:2" x14ac:dyDescent="0.25">
      <c r="A14" s="38" t="s">
        <v>198</v>
      </c>
      <c r="B14" s="82">
        <v>611682585</v>
      </c>
    </row>
    <row r="15" spans="1:2" x14ac:dyDescent="0.25">
      <c r="A15" s="38" t="s">
        <v>472</v>
      </c>
      <c r="B15" s="82">
        <v>584539.26</v>
      </c>
    </row>
    <row r="16" spans="1:2" x14ac:dyDescent="0.25">
      <c r="A16" s="38" t="s">
        <v>17</v>
      </c>
      <c r="B16" s="82">
        <v>5251529172.6775093</v>
      </c>
    </row>
    <row r="30" spans="4:4" x14ac:dyDescent="0.25">
      <c r="D30" s="47"/>
    </row>
    <row r="33" spans="1:1" x14ac:dyDescent="0.25">
      <c r="A33" s="37" t="s">
        <v>0</v>
      </c>
    </row>
    <row r="34" spans="1:1" x14ac:dyDescent="0.25">
      <c r="A34" s="38" t="s">
        <v>2</v>
      </c>
    </row>
    <row r="35" spans="1:1" x14ac:dyDescent="0.25">
      <c r="A35" s="537" t="s">
        <v>3</v>
      </c>
    </row>
    <row r="36" spans="1:1" x14ac:dyDescent="0.25">
      <c r="A36" s="619" t="s">
        <v>4</v>
      </c>
    </row>
    <row r="37" spans="1:1" x14ac:dyDescent="0.25">
      <c r="A37" s="619" t="s">
        <v>5</v>
      </c>
    </row>
    <row r="38" spans="1:1" x14ac:dyDescent="0.25">
      <c r="A38" s="619" t="s">
        <v>6</v>
      </c>
    </row>
    <row r="39" spans="1:1" x14ac:dyDescent="0.25">
      <c r="A39" s="619" t="s">
        <v>7</v>
      </c>
    </row>
    <row r="40" spans="1:1" x14ac:dyDescent="0.25">
      <c r="A40" s="619" t="s">
        <v>8</v>
      </c>
    </row>
    <row r="41" spans="1:1" x14ac:dyDescent="0.25">
      <c r="A41" s="619" t="s">
        <v>9</v>
      </c>
    </row>
    <row r="42" spans="1:1" x14ac:dyDescent="0.25">
      <c r="A42" s="537" t="s">
        <v>10</v>
      </c>
    </row>
    <row r="43" spans="1:1" x14ac:dyDescent="0.25">
      <c r="A43" s="619" t="s">
        <v>4</v>
      </c>
    </row>
    <row r="44" spans="1:1" x14ac:dyDescent="0.25">
      <c r="A44" s="619" t="s">
        <v>5</v>
      </c>
    </row>
    <row r="45" spans="1:1" x14ac:dyDescent="0.25">
      <c r="A45" s="619" t="s">
        <v>6</v>
      </c>
    </row>
    <row r="46" spans="1:1" x14ac:dyDescent="0.25">
      <c r="A46" s="619" t="s">
        <v>7</v>
      </c>
    </row>
    <row r="47" spans="1:1" x14ac:dyDescent="0.25">
      <c r="A47" s="619" t="s">
        <v>8</v>
      </c>
    </row>
    <row r="48" spans="1:1" x14ac:dyDescent="0.25">
      <c r="A48" s="38" t="s">
        <v>15</v>
      </c>
    </row>
    <row r="49" spans="1:1" x14ac:dyDescent="0.25">
      <c r="A49" s="537" t="s">
        <v>3</v>
      </c>
    </row>
    <row r="50" spans="1:1" x14ac:dyDescent="0.25">
      <c r="A50" s="619" t="s">
        <v>16</v>
      </c>
    </row>
    <row r="51" spans="1:1" x14ac:dyDescent="0.25">
      <c r="A51" s="537" t="s">
        <v>10</v>
      </c>
    </row>
    <row r="52" spans="1:1" x14ac:dyDescent="0.25">
      <c r="A52" s="619" t="s">
        <v>16</v>
      </c>
    </row>
    <row r="53" spans="1:1" x14ac:dyDescent="0.25">
      <c r="A53" s="38" t="s">
        <v>11</v>
      </c>
    </row>
    <row r="54" spans="1:1" x14ac:dyDescent="0.25">
      <c r="A54" s="537" t="s">
        <v>3</v>
      </c>
    </row>
    <row r="55" spans="1:1" x14ac:dyDescent="0.25">
      <c r="A55" s="619" t="s">
        <v>12</v>
      </c>
    </row>
    <row r="56" spans="1:1" x14ac:dyDescent="0.25">
      <c r="A56" s="619" t="s">
        <v>13</v>
      </c>
    </row>
    <row r="57" spans="1:1" x14ac:dyDescent="0.25">
      <c r="A57" s="619" t="s">
        <v>14</v>
      </c>
    </row>
    <row r="58" spans="1:1" x14ac:dyDescent="0.25">
      <c r="A58" s="537" t="s">
        <v>10</v>
      </c>
    </row>
    <row r="59" spans="1:1" x14ac:dyDescent="0.25">
      <c r="A59" s="619" t="s">
        <v>13</v>
      </c>
    </row>
    <row r="60" spans="1:1" x14ac:dyDescent="0.25">
      <c r="A60" s="38" t="s">
        <v>17</v>
      </c>
    </row>
    <row r="76" spans="1:1" x14ac:dyDescent="0.25">
      <c r="A76" s="37" t="s">
        <v>0</v>
      </c>
    </row>
    <row r="77" spans="1:1" x14ac:dyDescent="0.25">
      <c r="A77" s="38" t="s">
        <v>3</v>
      </c>
    </row>
    <row r="78" spans="1:1" x14ac:dyDescent="0.25">
      <c r="A78" s="537" t="s">
        <v>12</v>
      </c>
    </row>
    <row r="79" spans="1:1" x14ac:dyDescent="0.25">
      <c r="A79" s="537" t="s">
        <v>4</v>
      </c>
    </row>
    <row r="80" spans="1:1" x14ac:dyDescent="0.25">
      <c r="A80" s="537" t="s">
        <v>13</v>
      </c>
    </row>
    <row r="81" spans="1:1" x14ac:dyDescent="0.25">
      <c r="A81" s="537" t="s">
        <v>5</v>
      </c>
    </row>
    <row r="82" spans="1:1" x14ac:dyDescent="0.25">
      <c r="A82" s="537" t="s">
        <v>6</v>
      </c>
    </row>
    <row r="83" spans="1:1" x14ac:dyDescent="0.25">
      <c r="A83" s="537" t="s">
        <v>14</v>
      </c>
    </row>
    <row r="84" spans="1:1" x14ac:dyDescent="0.25">
      <c r="A84" s="537" t="s">
        <v>7</v>
      </c>
    </row>
    <row r="85" spans="1:1" x14ac:dyDescent="0.25">
      <c r="A85" s="537" t="s">
        <v>16</v>
      </c>
    </row>
    <row r="86" spans="1:1" x14ac:dyDescent="0.25">
      <c r="A86" s="537" t="s">
        <v>8</v>
      </c>
    </row>
    <row r="87" spans="1:1" x14ac:dyDescent="0.25">
      <c r="A87" s="537" t="s">
        <v>9</v>
      </c>
    </row>
    <row r="88" spans="1:1" x14ac:dyDescent="0.25">
      <c r="A88" s="38" t="s">
        <v>10</v>
      </c>
    </row>
    <row r="89" spans="1:1" x14ac:dyDescent="0.25">
      <c r="A89" s="537" t="s">
        <v>4</v>
      </c>
    </row>
    <row r="90" spans="1:1" x14ac:dyDescent="0.25">
      <c r="A90" s="537" t="s">
        <v>13</v>
      </c>
    </row>
    <row r="91" spans="1:1" x14ac:dyDescent="0.25">
      <c r="A91" s="537" t="s">
        <v>5</v>
      </c>
    </row>
    <row r="92" spans="1:1" x14ac:dyDescent="0.25">
      <c r="A92" s="537" t="s">
        <v>6</v>
      </c>
    </row>
    <row r="93" spans="1:1" x14ac:dyDescent="0.25">
      <c r="A93" s="537" t="s">
        <v>7</v>
      </c>
    </row>
    <row r="94" spans="1:1" x14ac:dyDescent="0.25">
      <c r="A94" s="537" t="s">
        <v>16</v>
      </c>
    </row>
    <row r="95" spans="1:1" x14ac:dyDescent="0.25">
      <c r="A95" s="537" t="s">
        <v>8</v>
      </c>
    </row>
    <row r="96" spans="1:1" x14ac:dyDescent="0.25">
      <c r="A96" s="38" t="s">
        <v>17</v>
      </c>
    </row>
  </sheetData>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07CE7-5B33-0249-917B-7F4EB5213347}">
  <sheetPr>
    <tabColor theme="9" tint="-0.249977111117893"/>
  </sheetPr>
  <dimension ref="A1:WWI87"/>
  <sheetViews>
    <sheetView topLeftCell="X1" zoomScale="73" zoomScaleNormal="73" workbookViewId="0">
      <selection activeCell="X1" sqref="X1:AI1048576"/>
    </sheetView>
  </sheetViews>
  <sheetFormatPr baseColWidth="10" defaultColWidth="0" defaultRowHeight="0" customHeight="1" zeroHeight="1" x14ac:dyDescent="0.2"/>
  <cols>
    <col min="1" max="1" width="39.42578125" style="553" customWidth="1"/>
    <col min="2" max="2" width="41.28515625" style="553" customWidth="1"/>
    <col min="3" max="3" width="44.140625" style="553" customWidth="1"/>
    <col min="4" max="4" width="69.7109375" style="553" customWidth="1"/>
    <col min="5" max="5" width="135.140625" style="554" customWidth="1"/>
    <col min="6" max="7" width="28.28515625" style="555" customWidth="1"/>
    <col min="8" max="9" width="15.42578125" style="553" customWidth="1"/>
    <col min="10" max="10" width="19.7109375" style="553" customWidth="1"/>
    <col min="11" max="11" width="15.42578125" style="553" hidden="1" customWidth="1"/>
    <col min="12" max="12" width="22.140625" style="553" customWidth="1"/>
    <col min="13" max="13" width="15.42578125" style="553" hidden="1" customWidth="1"/>
    <col min="14" max="14" width="20.42578125" style="553" customWidth="1"/>
    <col min="15" max="15" width="21.28515625" style="553" customWidth="1"/>
    <col min="16" max="16" width="15.42578125" style="553" customWidth="1"/>
    <col min="17" max="17" width="27.7109375" style="553" customWidth="1"/>
    <col min="18" max="18" width="50.42578125" style="599" customWidth="1"/>
    <col min="19" max="19" width="17.7109375" style="553" customWidth="1"/>
    <col min="20" max="20" width="67.140625" style="599" customWidth="1"/>
    <col min="21" max="22" width="53.140625" style="553" customWidth="1"/>
    <col min="23" max="23" width="36.140625" style="553" customWidth="1"/>
    <col min="24" max="26" width="39.42578125" style="553" customWidth="1"/>
    <col min="27" max="27" width="31.140625" style="553" customWidth="1"/>
    <col min="28" max="35" width="16.28515625" style="553" customWidth="1"/>
    <col min="36" max="36" width="10.7109375" style="553" customWidth="1"/>
    <col min="37" max="256" width="10.7109375" style="553" hidden="1"/>
    <col min="257" max="257" width="39.42578125" style="553" hidden="1"/>
    <col min="258" max="258" width="41.28515625" style="553" hidden="1"/>
    <col min="259" max="259" width="27.42578125" style="553" hidden="1"/>
    <col min="260" max="260" width="45.28515625" style="553" hidden="1"/>
    <col min="261" max="261" width="104.85546875" style="553" hidden="1"/>
    <col min="262" max="262" width="38.42578125" style="553" hidden="1"/>
    <col min="263" max="263" width="29.7109375" style="553" hidden="1"/>
    <col min="264" max="264" width="19" style="553" hidden="1"/>
    <col min="265" max="266" width="15.42578125" style="553" hidden="1"/>
    <col min="267" max="267" width="19.7109375" style="553" hidden="1"/>
    <col min="268" max="268" width="15.42578125" style="553" hidden="1"/>
    <col min="269" max="269" width="22.140625" style="553" hidden="1"/>
    <col min="270" max="270" width="15.42578125" style="553" hidden="1"/>
    <col min="271" max="271" width="20.42578125" style="553" hidden="1"/>
    <col min="272" max="272" width="21.28515625" style="553" hidden="1"/>
    <col min="273" max="273" width="15.42578125" style="553" hidden="1"/>
    <col min="274" max="274" width="19.42578125" style="553" hidden="1"/>
    <col min="275" max="275" width="50.42578125" style="553" hidden="1"/>
    <col min="276" max="276" width="17.7109375" style="553" hidden="1"/>
    <col min="277" max="277" width="44.28515625" style="553" hidden="1"/>
    <col min="278" max="278" width="53.140625" style="553" hidden="1"/>
    <col min="279" max="279" width="36.140625" style="553" hidden="1"/>
    <col min="280" max="283" width="11.42578125" style="553" hidden="1"/>
    <col min="284" max="512" width="10.7109375" style="553" hidden="1"/>
    <col min="513" max="513" width="39.42578125" style="553" hidden="1"/>
    <col min="514" max="514" width="41.28515625" style="553" hidden="1"/>
    <col min="515" max="515" width="27.42578125" style="553" hidden="1"/>
    <col min="516" max="516" width="45.28515625" style="553" hidden="1"/>
    <col min="517" max="517" width="104.85546875" style="553" hidden="1"/>
    <col min="518" max="518" width="38.42578125" style="553" hidden="1"/>
    <col min="519" max="519" width="29.7109375" style="553" hidden="1"/>
    <col min="520" max="520" width="19" style="553" hidden="1"/>
    <col min="521" max="522" width="15.42578125" style="553" hidden="1"/>
    <col min="523" max="523" width="19.7109375" style="553" hidden="1"/>
    <col min="524" max="524" width="15.42578125" style="553" hidden="1"/>
    <col min="525" max="525" width="22.140625" style="553" hidden="1"/>
    <col min="526" max="526" width="15.42578125" style="553" hidden="1"/>
    <col min="527" max="527" width="20.42578125" style="553" hidden="1"/>
    <col min="528" max="528" width="21.28515625" style="553" hidden="1"/>
    <col min="529" max="529" width="15.42578125" style="553" hidden="1"/>
    <col min="530" max="530" width="19.42578125" style="553" hidden="1"/>
    <col min="531" max="531" width="50.42578125" style="553" hidden="1"/>
    <col min="532" max="532" width="17.7109375" style="553" hidden="1"/>
    <col min="533" max="533" width="44.28515625" style="553" hidden="1"/>
    <col min="534" max="534" width="53.140625" style="553" hidden="1"/>
    <col min="535" max="535" width="36.140625" style="553" hidden="1"/>
    <col min="536" max="539" width="11.42578125" style="553" hidden="1"/>
    <col min="540" max="768" width="10.7109375" style="553" hidden="1"/>
    <col min="769" max="769" width="39.42578125" style="553" hidden="1"/>
    <col min="770" max="770" width="41.28515625" style="553" hidden="1"/>
    <col min="771" max="771" width="27.42578125" style="553" hidden="1"/>
    <col min="772" max="772" width="45.28515625" style="553" hidden="1"/>
    <col min="773" max="773" width="104.85546875" style="553" hidden="1"/>
    <col min="774" max="774" width="38.42578125" style="553" hidden="1"/>
    <col min="775" max="775" width="29.7109375" style="553" hidden="1"/>
    <col min="776" max="776" width="19" style="553" hidden="1"/>
    <col min="777" max="778" width="15.42578125" style="553" hidden="1"/>
    <col min="779" max="779" width="19.7109375" style="553" hidden="1"/>
    <col min="780" max="780" width="15.42578125" style="553" hidden="1"/>
    <col min="781" max="781" width="22.140625" style="553" hidden="1"/>
    <col min="782" max="782" width="15.42578125" style="553" hidden="1"/>
    <col min="783" max="783" width="20.42578125" style="553" hidden="1"/>
    <col min="784" max="784" width="21.28515625" style="553" hidden="1"/>
    <col min="785" max="785" width="15.42578125" style="553" hidden="1"/>
    <col min="786" max="786" width="19.42578125" style="553" hidden="1"/>
    <col min="787" max="787" width="50.42578125" style="553" hidden="1"/>
    <col min="788" max="788" width="17.7109375" style="553" hidden="1"/>
    <col min="789" max="789" width="44.28515625" style="553" hidden="1"/>
    <col min="790" max="790" width="53.140625" style="553" hidden="1"/>
    <col min="791" max="791" width="36.140625" style="553" hidden="1"/>
    <col min="792" max="795" width="11.42578125" style="553" hidden="1"/>
    <col min="796" max="1024" width="10.7109375" style="553" hidden="1"/>
    <col min="1025" max="1025" width="39.42578125" style="553" hidden="1"/>
    <col min="1026" max="1026" width="41.28515625" style="553" hidden="1"/>
    <col min="1027" max="1027" width="27.42578125" style="553" hidden="1"/>
    <col min="1028" max="1028" width="45.28515625" style="553" hidden="1"/>
    <col min="1029" max="1029" width="104.85546875" style="553" hidden="1"/>
    <col min="1030" max="1030" width="38.42578125" style="553" hidden="1"/>
    <col min="1031" max="1031" width="29.7109375" style="553" hidden="1"/>
    <col min="1032" max="1032" width="19" style="553" hidden="1"/>
    <col min="1033" max="1034" width="15.42578125" style="553" hidden="1"/>
    <col min="1035" max="1035" width="19.7109375" style="553" hidden="1"/>
    <col min="1036" max="1036" width="15.42578125" style="553" hidden="1"/>
    <col min="1037" max="1037" width="22.140625" style="553" hidden="1"/>
    <col min="1038" max="1038" width="15.42578125" style="553" hidden="1"/>
    <col min="1039" max="1039" width="20.42578125" style="553" hidden="1"/>
    <col min="1040" max="1040" width="21.28515625" style="553" hidden="1"/>
    <col min="1041" max="1041" width="15.42578125" style="553" hidden="1"/>
    <col min="1042" max="1042" width="19.42578125" style="553" hidden="1"/>
    <col min="1043" max="1043" width="50.42578125" style="553" hidden="1"/>
    <col min="1044" max="1044" width="17.7109375" style="553" hidden="1"/>
    <col min="1045" max="1045" width="44.28515625" style="553" hidden="1"/>
    <col min="1046" max="1046" width="53.140625" style="553" hidden="1"/>
    <col min="1047" max="1047" width="36.140625" style="553" hidden="1"/>
    <col min="1048" max="1051" width="11.42578125" style="553" hidden="1"/>
    <col min="1052" max="1280" width="10.7109375" style="553" hidden="1"/>
    <col min="1281" max="1281" width="39.42578125" style="553" hidden="1"/>
    <col min="1282" max="1282" width="41.28515625" style="553" hidden="1"/>
    <col min="1283" max="1283" width="27.42578125" style="553" hidden="1"/>
    <col min="1284" max="1284" width="45.28515625" style="553" hidden="1"/>
    <col min="1285" max="1285" width="104.85546875" style="553" hidden="1"/>
    <col min="1286" max="1286" width="38.42578125" style="553" hidden="1"/>
    <col min="1287" max="1287" width="29.7109375" style="553" hidden="1"/>
    <col min="1288" max="1288" width="19" style="553" hidden="1"/>
    <col min="1289" max="1290" width="15.42578125" style="553" hidden="1"/>
    <col min="1291" max="1291" width="19.7109375" style="553" hidden="1"/>
    <col min="1292" max="1292" width="15.42578125" style="553" hidden="1"/>
    <col min="1293" max="1293" width="22.140625" style="553" hidden="1"/>
    <col min="1294" max="1294" width="15.42578125" style="553" hidden="1"/>
    <col min="1295" max="1295" width="20.42578125" style="553" hidden="1"/>
    <col min="1296" max="1296" width="21.28515625" style="553" hidden="1"/>
    <col min="1297" max="1297" width="15.42578125" style="553" hidden="1"/>
    <col min="1298" max="1298" width="19.42578125" style="553" hidden="1"/>
    <col min="1299" max="1299" width="50.42578125" style="553" hidden="1"/>
    <col min="1300" max="1300" width="17.7109375" style="553" hidden="1"/>
    <col min="1301" max="1301" width="44.28515625" style="553" hidden="1"/>
    <col min="1302" max="1302" width="53.140625" style="553" hidden="1"/>
    <col min="1303" max="1303" width="36.140625" style="553" hidden="1"/>
    <col min="1304" max="1307" width="11.42578125" style="553" hidden="1"/>
    <col min="1308" max="1536" width="10.7109375" style="553" hidden="1"/>
    <col min="1537" max="1537" width="39.42578125" style="553" hidden="1"/>
    <col min="1538" max="1538" width="41.28515625" style="553" hidden="1"/>
    <col min="1539" max="1539" width="27.42578125" style="553" hidden="1"/>
    <col min="1540" max="1540" width="45.28515625" style="553" hidden="1"/>
    <col min="1541" max="1541" width="104.85546875" style="553" hidden="1"/>
    <col min="1542" max="1542" width="38.42578125" style="553" hidden="1"/>
    <col min="1543" max="1543" width="29.7109375" style="553" hidden="1"/>
    <col min="1544" max="1544" width="19" style="553" hidden="1"/>
    <col min="1545" max="1546" width="15.42578125" style="553" hidden="1"/>
    <col min="1547" max="1547" width="19.7109375" style="553" hidden="1"/>
    <col min="1548" max="1548" width="15.42578125" style="553" hidden="1"/>
    <col min="1549" max="1549" width="22.140625" style="553" hidden="1"/>
    <col min="1550" max="1550" width="15.42578125" style="553" hidden="1"/>
    <col min="1551" max="1551" width="20.42578125" style="553" hidden="1"/>
    <col min="1552" max="1552" width="21.28515625" style="553" hidden="1"/>
    <col min="1553" max="1553" width="15.42578125" style="553" hidden="1"/>
    <col min="1554" max="1554" width="19.42578125" style="553" hidden="1"/>
    <col min="1555" max="1555" width="50.42578125" style="553" hidden="1"/>
    <col min="1556" max="1556" width="17.7109375" style="553" hidden="1"/>
    <col min="1557" max="1557" width="44.28515625" style="553" hidden="1"/>
    <col min="1558" max="1558" width="53.140625" style="553" hidden="1"/>
    <col min="1559" max="1559" width="36.140625" style="553" hidden="1"/>
    <col min="1560" max="1563" width="11.42578125" style="553" hidden="1"/>
    <col min="1564" max="1792" width="10.7109375" style="553" hidden="1"/>
    <col min="1793" max="1793" width="39.42578125" style="553" hidden="1"/>
    <col min="1794" max="1794" width="41.28515625" style="553" hidden="1"/>
    <col min="1795" max="1795" width="27.42578125" style="553" hidden="1"/>
    <col min="1796" max="1796" width="45.28515625" style="553" hidden="1"/>
    <col min="1797" max="1797" width="104.85546875" style="553" hidden="1"/>
    <col min="1798" max="1798" width="38.42578125" style="553" hidden="1"/>
    <col min="1799" max="1799" width="29.7109375" style="553" hidden="1"/>
    <col min="1800" max="1800" width="19" style="553" hidden="1"/>
    <col min="1801" max="1802" width="15.42578125" style="553" hidden="1"/>
    <col min="1803" max="1803" width="19.7109375" style="553" hidden="1"/>
    <col min="1804" max="1804" width="15.42578125" style="553" hidden="1"/>
    <col min="1805" max="1805" width="22.140625" style="553" hidden="1"/>
    <col min="1806" max="1806" width="15.42578125" style="553" hidden="1"/>
    <col min="1807" max="1807" width="20.42578125" style="553" hidden="1"/>
    <col min="1808" max="1808" width="21.28515625" style="553" hidden="1"/>
    <col min="1809" max="1809" width="15.42578125" style="553" hidden="1"/>
    <col min="1810" max="1810" width="19.42578125" style="553" hidden="1"/>
    <col min="1811" max="1811" width="50.42578125" style="553" hidden="1"/>
    <col min="1812" max="1812" width="17.7109375" style="553" hidden="1"/>
    <col min="1813" max="1813" width="44.28515625" style="553" hidden="1"/>
    <col min="1814" max="1814" width="53.140625" style="553" hidden="1"/>
    <col min="1815" max="1815" width="36.140625" style="553" hidden="1"/>
    <col min="1816" max="1819" width="11.42578125" style="553" hidden="1"/>
    <col min="1820" max="2048" width="10.7109375" style="553" hidden="1"/>
    <col min="2049" max="2049" width="39.42578125" style="553" hidden="1"/>
    <col min="2050" max="2050" width="41.28515625" style="553" hidden="1"/>
    <col min="2051" max="2051" width="27.42578125" style="553" hidden="1"/>
    <col min="2052" max="2052" width="45.28515625" style="553" hidden="1"/>
    <col min="2053" max="2053" width="104.85546875" style="553" hidden="1"/>
    <col min="2054" max="2054" width="38.42578125" style="553" hidden="1"/>
    <col min="2055" max="2055" width="29.7109375" style="553" hidden="1"/>
    <col min="2056" max="2056" width="19" style="553" hidden="1"/>
    <col min="2057" max="2058" width="15.42578125" style="553" hidden="1"/>
    <col min="2059" max="2059" width="19.7109375" style="553" hidden="1"/>
    <col min="2060" max="2060" width="15.42578125" style="553" hidden="1"/>
    <col min="2061" max="2061" width="22.140625" style="553" hidden="1"/>
    <col min="2062" max="2062" width="15.42578125" style="553" hidden="1"/>
    <col min="2063" max="2063" width="20.42578125" style="553" hidden="1"/>
    <col min="2064" max="2064" width="21.28515625" style="553" hidden="1"/>
    <col min="2065" max="2065" width="15.42578125" style="553" hidden="1"/>
    <col min="2066" max="2066" width="19.42578125" style="553" hidden="1"/>
    <col min="2067" max="2067" width="50.42578125" style="553" hidden="1"/>
    <col min="2068" max="2068" width="17.7109375" style="553" hidden="1"/>
    <col min="2069" max="2069" width="44.28515625" style="553" hidden="1"/>
    <col min="2070" max="2070" width="53.140625" style="553" hidden="1"/>
    <col min="2071" max="2071" width="36.140625" style="553" hidden="1"/>
    <col min="2072" max="2075" width="11.42578125" style="553" hidden="1"/>
    <col min="2076" max="2304" width="10.7109375" style="553" hidden="1"/>
    <col min="2305" max="2305" width="39.42578125" style="553" hidden="1"/>
    <col min="2306" max="2306" width="41.28515625" style="553" hidden="1"/>
    <col min="2307" max="2307" width="27.42578125" style="553" hidden="1"/>
    <col min="2308" max="2308" width="45.28515625" style="553" hidden="1"/>
    <col min="2309" max="2309" width="104.85546875" style="553" hidden="1"/>
    <col min="2310" max="2310" width="38.42578125" style="553" hidden="1"/>
    <col min="2311" max="2311" width="29.7109375" style="553" hidden="1"/>
    <col min="2312" max="2312" width="19" style="553" hidden="1"/>
    <col min="2313" max="2314" width="15.42578125" style="553" hidden="1"/>
    <col min="2315" max="2315" width="19.7109375" style="553" hidden="1"/>
    <col min="2316" max="2316" width="15.42578125" style="553" hidden="1"/>
    <col min="2317" max="2317" width="22.140625" style="553" hidden="1"/>
    <col min="2318" max="2318" width="15.42578125" style="553" hidden="1"/>
    <col min="2319" max="2319" width="20.42578125" style="553" hidden="1"/>
    <col min="2320" max="2320" width="21.28515625" style="553" hidden="1"/>
    <col min="2321" max="2321" width="15.42578125" style="553" hidden="1"/>
    <col min="2322" max="2322" width="19.42578125" style="553" hidden="1"/>
    <col min="2323" max="2323" width="50.42578125" style="553" hidden="1"/>
    <col min="2324" max="2324" width="17.7109375" style="553" hidden="1"/>
    <col min="2325" max="2325" width="44.28515625" style="553" hidden="1"/>
    <col min="2326" max="2326" width="53.140625" style="553" hidden="1"/>
    <col min="2327" max="2327" width="36.140625" style="553" hidden="1"/>
    <col min="2328" max="2331" width="11.42578125" style="553" hidden="1"/>
    <col min="2332" max="2560" width="10.7109375" style="553" hidden="1"/>
    <col min="2561" max="2561" width="39.42578125" style="553" hidden="1"/>
    <col min="2562" max="2562" width="41.28515625" style="553" hidden="1"/>
    <col min="2563" max="2563" width="27.42578125" style="553" hidden="1"/>
    <col min="2564" max="2564" width="45.28515625" style="553" hidden="1"/>
    <col min="2565" max="2565" width="104.85546875" style="553" hidden="1"/>
    <col min="2566" max="2566" width="38.42578125" style="553" hidden="1"/>
    <col min="2567" max="2567" width="29.7109375" style="553" hidden="1"/>
    <col min="2568" max="2568" width="19" style="553" hidden="1"/>
    <col min="2569" max="2570" width="15.42578125" style="553" hidden="1"/>
    <col min="2571" max="2571" width="19.7109375" style="553" hidden="1"/>
    <col min="2572" max="2572" width="15.42578125" style="553" hidden="1"/>
    <col min="2573" max="2573" width="22.140625" style="553" hidden="1"/>
    <col min="2574" max="2574" width="15.42578125" style="553" hidden="1"/>
    <col min="2575" max="2575" width="20.42578125" style="553" hidden="1"/>
    <col min="2576" max="2576" width="21.28515625" style="553" hidden="1"/>
    <col min="2577" max="2577" width="15.42578125" style="553" hidden="1"/>
    <col min="2578" max="2578" width="19.42578125" style="553" hidden="1"/>
    <col min="2579" max="2579" width="50.42578125" style="553" hidden="1"/>
    <col min="2580" max="2580" width="17.7109375" style="553" hidden="1"/>
    <col min="2581" max="2581" width="44.28515625" style="553" hidden="1"/>
    <col min="2582" max="2582" width="53.140625" style="553" hidden="1"/>
    <col min="2583" max="2583" width="36.140625" style="553" hidden="1"/>
    <col min="2584" max="2587" width="11.42578125" style="553" hidden="1"/>
    <col min="2588" max="2816" width="10.7109375" style="553" hidden="1"/>
    <col min="2817" max="2817" width="39.42578125" style="553" hidden="1"/>
    <col min="2818" max="2818" width="41.28515625" style="553" hidden="1"/>
    <col min="2819" max="2819" width="27.42578125" style="553" hidden="1"/>
    <col min="2820" max="2820" width="45.28515625" style="553" hidden="1"/>
    <col min="2821" max="2821" width="104.85546875" style="553" hidden="1"/>
    <col min="2822" max="2822" width="38.42578125" style="553" hidden="1"/>
    <col min="2823" max="2823" width="29.7109375" style="553" hidden="1"/>
    <col min="2824" max="2824" width="19" style="553" hidden="1"/>
    <col min="2825" max="2826" width="15.42578125" style="553" hidden="1"/>
    <col min="2827" max="2827" width="19.7109375" style="553" hidden="1"/>
    <col min="2828" max="2828" width="15.42578125" style="553" hidden="1"/>
    <col min="2829" max="2829" width="22.140625" style="553" hidden="1"/>
    <col min="2830" max="2830" width="15.42578125" style="553" hidden="1"/>
    <col min="2831" max="2831" width="20.42578125" style="553" hidden="1"/>
    <col min="2832" max="2832" width="21.28515625" style="553" hidden="1"/>
    <col min="2833" max="2833" width="15.42578125" style="553" hidden="1"/>
    <col min="2834" max="2834" width="19.42578125" style="553" hidden="1"/>
    <col min="2835" max="2835" width="50.42578125" style="553" hidden="1"/>
    <col min="2836" max="2836" width="17.7109375" style="553" hidden="1"/>
    <col min="2837" max="2837" width="44.28515625" style="553" hidden="1"/>
    <col min="2838" max="2838" width="53.140625" style="553" hidden="1"/>
    <col min="2839" max="2839" width="36.140625" style="553" hidden="1"/>
    <col min="2840" max="2843" width="11.42578125" style="553" hidden="1"/>
    <col min="2844" max="3072" width="10.7109375" style="553" hidden="1"/>
    <col min="3073" max="3073" width="39.42578125" style="553" hidden="1"/>
    <col min="3074" max="3074" width="41.28515625" style="553" hidden="1"/>
    <col min="3075" max="3075" width="27.42578125" style="553" hidden="1"/>
    <col min="3076" max="3076" width="45.28515625" style="553" hidden="1"/>
    <col min="3077" max="3077" width="104.85546875" style="553" hidden="1"/>
    <col min="3078" max="3078" width="38.42578125" style="553" hidden="1"/>
    <col min="3079" max="3079" width="29.7109375" style="553" hidden="1"/>
    <col min="3080" max="3080" width="19" style="553" hidden="1"/>
    <col min="3081" max="3082" width="15.42578125" style="553" hidden="1"/>
    <col min="3083" max="3083" width="19.7109375" style="553" hidden="1"/>
    <col min="3084" max="3084" width="15.42578125" style="553" hidden="1"/>
    <col min="3085" max="3085" width="22.140625" style="553" hidden="1"/>
    <col min="3086" max="3086" width="15.42578125" style="553" hidden="1"/>
    <col min="3087" max="3087" width="20.42578125" style="553" hidden="1"/>
    <col min="3088" max="3088" width="21.28515625" style="553" hidden="1"/>
    <col min="3089" max="3089" width="15.42578125" style="553" hidden="1"/>
    <col min="3090" max="3090" width="19.42578125" style="553" hidden="1"/>
    <col min="3091" max="3091" width="50.42578125" style="553" hidden="1"/>
    <col min="3092" max="3092" width="17.7109375" style="553" hidden="1"/>
    <col min="3093" max="3093" width="44.28515625" style="553" hidden="1"/>
    <col min="3094" max="3094" width="53.140625" style="553" hidden="1"/>
    <col min="3095" max="3095" width="36.140625" style="553" hidden="1"/>
    <col min="3096" max="3099" width="11.42578125" style="553" hidden="1"/>
    <col min="3100" max="3328" width="10.7109375" style="553" hidden="1"/>
    <col min="3329" max="3329" width="39.42578125" style="553" hidden="1"/>
    <col min="3330" max="3330" width="41.28515625" style="553" hidden="1"/>
    <col min="3331" max="3331" width="27.42578125" style="553" hidden="1"/>
    <col min="3332" max="3332" width="45.28515625" style="553" hidden="1"/>
    <col min="3333" max="3333" width="104.85546875" style="553" hidden="1"/>
    <col min="3334" max="3334" width="38.42578125" style="553" hidden="1"/>
    <col min="3335" max="3335" width="29.7109375" style="553" hidden="1"/>
    <col min="3336" max="3336" width="19" style="553" hidden="1"/>
    <col min="3337" max="3338" width="15.42578125" style="553" hidden="1"/>
    <col min="3339" max="3339" width="19.7109375" style="553" hidden="1"/>
    <col min="3340" max="3340" width="15.42578125" style="553" hidden="1"/>
    <col min="3341" max="3341" width="22.140625" style="553" hidden="1"/>
    <col min="3342" max="3342" width="15.42578125" style="553" hidden="1"/>
    <col min="3343" max="3343" width="20.42578125" style="553" hidden="1"/>
    <col min="3344" max="3344" width="21.28515625" style="553" hidden="1"/>
    <col min="3345" max="3345" width="15.42578125" style="553" hidden="1"/>
    <col min="3346" max="3346" width="19.42578125" style="553" hidden="1"/>
    <col min="3347" max="3347" width="50.42578125" style="553" hidden="1"/>
    <col min="3348" max="3348" width="17.7109375" style="553" hidden="1"/>
    <col min="3349" max="3349" width="44.28515625" style="553" hidden="1"/>
    <col min="3350" max="3350" width="53.140625" style="553" hidden="1"/>
    <col min="3351" max="3351" width="36.140625" style="553" hidden="1"/>
    <col min="3352" max="3355" width="11.42578125" style="553" hidden="1"/>
    <col min="3356" max="3584" width="10.7109375" style="553" hidden="1"/>
    <col min="3585" max="3585" width="39.42578125" style="553" hidden="1"/>
    <col min="3586" max="3586" width="41.28515625" style="553" hidden="1"/>
    <col min="3587" max="3587" width="27.42578125" style="553" hidden="1"/>
    <col min="3588" max="3588" width="45.28515625" style="553" hidden="1"/>
    <col min="3589" max="3589" width="104.85546875" style="553" hidden="1"/>
    <col min="3590" max="3590" width="38.42578125" style="553" hidden="1"/>
    <col min="3591" max="3591" width="29.7109375" style="553" hidden="1"/>
    <col min="3592" max="3592" width="19" style="553" hidden="1"/>
    <col min="3593" max="3594" width="15.42578125" style="553" hidden="1"/>
    <col min="3595" max="3595" width="19.7109375" style="553" hidden="1"/>
    <col min="3596" max="3596" width="15.42578125" style="553" hidden="1"/>
    <col min="3597" max="3597" width="22.140625" style="553" hidden="1"/>
    <col min="3598" max="3598" width="15.42578125" style="553" hidden="1"/>
    <col min="3599" max="3599" width="20.42578125" style="553" hidden="1"/>
    <col min="3600" max="3600" width="21.28515625" style="553" hidden="1"/>
    <col min="3601" max="3601" width="15.42578125" style="553" hidden="1"/>
    <col min="3602" max="3602" width="19.42578125" style="553" hidden="1"/>
    <col min="3603" max="3603" width="50.42578125" style="553" hidden="1"/>
    <col min="3604" max="3604" width="17.7109375" style="553" hidden="1"/>
    <col min="3605" max="3605" width="44.28515625" style="553" hidden="1"/>
    <col min="3606" max="3606" width="53.140625" style="553" hidden="1"/>
    <col min="3607" max="3607" width="36.140625" style="553" hidden="1"/>
    <col min="3608" max="3611" width="11.42578125" style="553" hidden="1"/>
    <col min="3612" max="3840" width="10.7109375" style="553" hidden="1"/>
    <col min="3841" max="3841" width="39.42578125" style="553" hidden="1"/>
    <col min="3842" max="3842" width="41.28515625" style="553" hidden="1"/>
    <col min="3843" max="3843" width="27.42578125" style="553" hidden="1"/>
    <col min="3844" max="3844" width="45.28515625" style="553" hidden="1"/>
    <col min="3845" max="3845" width="104.85546875" style="553" hidden="1"/>
    <col min="3846" max="3846" width="38.42578125" style="553" hidden="1"/>
    <col min="3847" max="3847" width="29.7109375" style="553" hidden="1"/>
    <col min="3848" max="3848" width="19" style="553" hidden="1"/>
    <col min="3849" max="3850" width="15.42578125" style="553" hidden="1"/>
    <col min="3851" max="3851" width="19.7109375" style="553" hidden="1"/>
    <col min="3852" max="3852" width="15.42578125" style="553" hidden="1"/>
    <col min="3853" max="3853" width="22.140625" style="553" hidden="1"/>
    <col min="3854" max="3854" width="15.42578125" style="553" hidden="1"/>
    <col min="3855" max="3855" width="20.42578125" style="553" hidden="1"/>
    <col min="3856" max="3856" width="21.28515625" style="553" hidden="1"/>
    <col min="3857" max="3857" width="15.42578125" style="553" hidden="1"/>
    <col min="3858" max="3858" width="19.42578125" style="553" hidden="1"/>
    <col min="3859" max="3859" width="50.42578125" style="553" hidden="1"/>
    <col min="3860" max="3860" width="17.7109375" style="553" hidden="1"/>
    <col min="3861" max="3861" width="44.28515625" style="553" hidden="1"/>
    <col min="3862" max="3862" width="53.140625" style="553" hidden="1"/>
    <col min="3863" max="3863" width="36.140625" style="553" hidden="1"/>
    <col min="3864" max="3867" width="11.42578125" style="553" hidden="1"/>
    <col min="3868" max="4096" width="10.7109375" style="553" hidden="1"/>
    <col min="4097" max="4097" width="39.42578125" style="553" hidden="1"/>
    <col min="4098" max="4098" width="41.28515625" style="553" hidden="1"/>
    <col min="4099" max="4099" width="27.42578125" style="553" hidden="1"/>
    <col min="4100" max="4100" width="45.28515625" style="553" hidden="1"/>
    <col min="4101" max="4101" width="104.85546875" style="553" hidden="1"/>
    <col min="4102" max="4102" width="38.42578125" style="553" hidden="1"/>
    <col min="4103" max="4103" width="29.7109375" style="553" hidden="1"/>
    <col min="4104" max="4104" width="19" style="553" hidden="1"/>
    <col min="4105" max="4106" width="15.42578125" style="553" hidden="1"/>
    <col min="4107" max="4107" width="19.7109375" style="553" hidden="1"/>
    <col min="4108" max="4108" width="15.42578125" style="553" hidden="1"/>
    <col min="4109" max="4109" width="22.140625" style="553" hidden="1"/>
    <col min="4110" max="4110" width="15.42578125" style="553" hidden="1"/>
    <col min="4111" max="4111" width="20.42578125" style="553" hidden="1"/>
    <col min="4112" max="4112" width="21.28515625" style="553" hidden="1"/>
    <col min="4113" max="4113" width="15.42578125" style="553" hidden="1"/>
    <col min="4114" max="4114" width="19.42578125" style="553" hidden="1"/>
    <col min="4115" max="4115" width="50.42578125" style="553" hidden="1"/>
    <col min="4116" max="4116" width="17.7109375" style="553" hidden="1"/>
    <col min="4117" max="4117" width="44.28515625" style="553" hidden="1"/>
    <col min="4118" max="4118" width="53.140625" style="553" hidden="1"/>
    <col min="4119" max="4119" width="36.140625" style="553" hidden="1"/>
    <col min="4120" max="4123" width="11.42578125" style="553" hidden="1"/>
    <col min="4124" max="4352" width="10.7109375" style="553" hidden="1"/>
    <col min="4353" max="4353" width="39.42578125" style="553" hidden="1"/>
    <col min="4354" max="4354" width="41.28515625" style="553" hidden="1"/>
    <col min="4355" max="4355" width="27.42578125" style="553" hidden="1"/>
    <col min="4356" max="4356" width="45.28515625" style="553" hidden="1"/>
    <col min="4357" max="4357" width="104.85546875" style="553" hidden="1"/>
    <col min="4358" max="4358" width="38.42578125" style="553" hidden="1"/>
    <col min="4359" max="4359" width="29.7109375" style="553" hidden="1"/>
    <col min="4360" max="4360" width="19" style="553" hidden="1"/>
    <col min="4361" max="4362" width="15.42578125" style="553" hidden="1"/>
    <col min="4363" max="4363" width="19.7109375" style="553" hidden="1"/>
    <col min="4364" max="4364" width="15.42578125" style="553" hidden="1"/>
    <col min="4365" max="4365" width="22.140625" style="553" hidden="1"/>
    <col min="4366" max="4366" width="15.42578125" style="553" hidden="1"/>
    <col min="4367" max="4367" width="20.42578125" style="553" hidden="1"/>
    <col min="4368" max="4368" width="21.28515625" style="553" hidden="1"/>
    <col min="4369" max="4369" width="15.42578125" style="553" hidden="1"/>
    <col min="4370" max="4370" width="19.42578125" style="553" hidden="1"/>
    <col min="4371" max="4371" width="50.42578125" style="553" hidden="1"/>
    <col min="4372" max="4372" width="17.7109375" style="553" hidden="1"/>
    <col min="4373" max="4373" width="44.28515625" style="553" hidden="1"/>
    <col min="4374" max="4374" width="53.140625" style="553" hidden="1"/>
    <col min="4375" max="4375" width="36.140625" style="553" hidden="1"/>
    <col min="4376" max="4379" width="11.42578125" style="553" hidden="1"/>
    <col min="4380" max="4608" width="10.7109375" style="553" hidden="1"/>
    <col min="4609" max="4609" width="39.42578125" style="553" hidden="1"/>
    <col min="4610" max="4610" width="41.28515625" style="553" hidden="1"/>
    <col min="4611" max="4611" width="27.42578125" style="553" hidden="1"/>
    <col min="4612" max="4612" width="45.28515625" style="553" hidden="1"/>
    <col min="4613" max="4613" width="104.85546875" style="553" hidden="1"/>
    <col min="4614" max="4614" width="38.42578125" style="553" hidden="1"/>
    <col min="4615" max="4615" width="29.7109375" style="553" hidden="1"/>
    <col min="4616" max="4616" width="19" style="553" hidden="1"/>
    <col min="4617" max="4618" width="15.42578125" style="553" hidden="1"/>
    <col min="4619" max="4619" width="19.7109375" style="553" hidden="1"/>
    <col min="4620" max="4620" width="15.42578125" style="553" hidden="1"/>
    <col min="4621" max="4621" width="22.140625" style="553" hidden="1"/>
    <col min="4622" max="4622" width="15.42578125" style="553" hidden="1"/>
    <col min="4623" max="4623" width="20.42578125" style="553" hidden="1"/>
    <col min="4624" max="4624" width="21.28515625" style="553" hidden="1"/>
    <col min="4625" max="4625" width="15.42578125" style="553" hidden="1"/>
    <col min="4626" max="4626" width="19.42578125" style="553" hidden="1"/>
    <col min="4627" max="4627" width="50.42578125" style="553" hidden="1"/>
    <col min="4628" max="4628" width="17.7109375" style="553" hidden="1"/>
    <col min="4629" max="4629" width="44.28515625" style="553" hidden="1"/>
    <col min="4630" max="4630" width="53.140625" style="553" hidden="1"/>
    <col min="4631" max="4631" width="36.140625" style="553" hidden="1"/>
    <col min="4632" max="4635" width="11.42578125" style="553" hidden="1"/>
    <col min="4636" max="4864" width="10.7109375" style="553" hidden="1"/>
    <col min="4865" max="4865" width="39.42578125" style="553" hidden="1"/>
    <col min="4866" max="4866" width="41.28515625" style="553" hidden="1"/>
    <col min="4867" max="4867" width="27.42578125" style="553" hidden="1"/>
    <col min="4868" max="4868" width="45.28515625" style="553" hidden="1"/>
    <col min="4869" max="4869" width="104.85546875" style="553" hidden="1"/>
    <col min="4870" max="4870" width="38.42578125" style="553" hidden="1"/>
    <col min="4871" max="4871" width="29.7109375" style="553" hidden="1"/>
    <col min="4872" max="4872" width="19" style="553" hidden="1"/>
    <col min="4873" max="4874" width="15.42578125" style="553" hidden="1"/>
    <col min="4875" max="4875" width="19.7109375" style="553" hidden="1"/>
    <col min="4876" max="4876" width="15.42578125" style="553" hidden="1"/>
    <col min="4877" max="4877" width="22.140625" style="553" hidden="1"/>
    <col min="4878" max="4878" width="15.42578125" style="553" hidden="1"/>
    <col min="4879" max="4879" width="20.42578125" style="553" hidden="1"/>
    <col min="4880" max="4880" width="21.28515625" style="553" hidden="1"/>
    <col min="4881" max="4881" width="15.42578125" style="553" hidden="1"/>
    <col min="4882" max="4882" width="19.42578125" style="553" hidden="1"/>
    <col min="4883" max="4883" width="50.42578125" style="553" hidden="1"/>
    <col min="4884" max="4884" width="17.7109375" style="553" hidden="1"/>
    <col min="4885" max="4885" width="44.28515625" style="553" hidden="1"/>
    <col min="4886" max="4886" width="53.140625" style="553" hidden="1"/>
    <col min="4887" max="4887" width="36.140625" style="553" hidden="1"/>
    <col min="4888" max="4891" width="11.42578125" style="553" hidden="1"/>
    <col min="4892" max="5120" width="10.7109375" style="553" hidden="1"/>
    <col min="5121" max="5121" width="39.42578125" style="553" hidden="1"/>
    <col min="5122" max="5122" width="41.28515625" style="553" hidden="1"/>
    <col min="5123" max="5123" width="27.42578125" style="553" hidden="1"/>
    <col min="5124" max="5124" width="45.28515625" style="553" hidden="1"/>
    <col min="5125" max="5125" width="104.85546875" style="553" hidden="1"/>
    <col min="5126" max="5126" width="38.42578125" style="553" hidden="1"/>
    <col min="5127" max="5127" width="29.7109375" style="553" hidden="1"/>
    <col min="5128" max="5128" width="19" style="553" hidden="1"/>
    <col min="5129" max="5130" width="15.42578125" style="553" hidden="1"/>
    <col min="5131" max="5131" width="19.7109375" style="553" hidden="1"/>
    <col min="5132" max="5132" width="15.42578125" style="553" hidden="1"/>
    <col min="5133" max="5133" width="22.140625" style="553" hidden="1"/>
    <col min="5134" max="5134" width="15.42578125" style="553" hidden="1"/>
    <col min="5135" max="5135" width="20.42578125" style="553" hidden="1"/>
    <col min="5136" max="5136" width="21.28515625" style="553" hidden="1"/>
    <col min="5137" max="5137" width="15.42578125" style="553" hidden="1"/>
    <col min="5138" max="5138" width="19.42578125" style="553" hidden="1"/>
    <col min="5139" max="5139" width="50.42578125" style="553" hidden="1"/>
    <col min="5140" max="5140" width="17.7109375" style="553" hidden="1"/>
    <col min="5141" max="5141" width="44.28515625" style="553" hidden="1"/>
    <col min="5142" max="5142" width="53.140625" style="553" hidden="1"/>
    <col min="5143" max="5143" width="36.140625" style="553" hidden="1"/>
    <col min="5144" max="5147" width="11.42578125" style="553" hidden="1"/>
    <col min="5148" max="5376" width="10.7109375" style="553" hidden="1"/>
    <col min="5377" max="5377" width="39.42578125" style="553" hidden="1"/>
    <col min="5378" max="5378" width="41.28515625" style="553" hidden="1"/>
    <col min="5379" max="5379" width="27.42578125" style="553" hidden="1"/>
    <col min="5380" max="5380" width="45.28515625" style="553" hidden="1"/>
    <col min="5381" max="5381" width="104.85546875" style="553" hidden="1"/>
    <col min="5382" max="5382" width="38.42578125" style="553" hidden="1"/>
    <col min="5383" max="5383" width="29.7109375" style="553" hidden="1"/>
    <col min="5384" max="5384" width="19" style="553" hidden="1"/>
    <col min="5385" max="5386" width="15.42578125" style="553" hidden="1"/>
    <col min="5387" max="5387" width="19.7109375" style="553" hidden="1"/>
    <col min="5388" max="5388" width="15.42578125" style="553" hidden="1"/>
    <col min="5389" max="5389" width="22.140625" style="553" hidden="1"/>
    <col min="5390" max="5390" width="15.42578125" style="553" hidden="1"/>
    <col min="5391" max="5391" width="20.42578125" style="553" hidden="1"/>
    <col min="5392" max="5392" width="21.28515625" style="553" hidden="1"/>
    <col min="5393" max="5393" width="15.42578125" style="553" hidden="1"/>
    <col min="5394" max="5394" width="19.42578125" style="553" hidden="1"/>
    <col min="5395" max="5395" width="50.42578125" style="553" hidden="1"/>
    <col min="5396" max="5396" width="17.7109375" style="553" hidden="1"/>
    <col min="5397" max="5397" width="44.28515625" style="553" hidden="1"/>
    <col min="5398" max="5398" width="53.140625" style="553" hidden="1"/>
    <col min="5399" max="5399" width="36.140625" style="553" hidden="1"/>
    <col min="5400" max="5403" width="11.42578125" style="553" hidden="1"/>
    <col min="5404" max="5632" width="10.7109375" style="553" hidden="1"/>
    <col min="5633" max="5633" width="39.42578125" style="553" hidden="1"/>
    <col min="5634" max="5634" width="41.28515625" style="553" hidden="1"/>
    <col min="5635" max="5635" width="27.42578125" style="553" hidden="1"/>
    <col min="5636" max="5636" width="45.28515625" style="553" hidden="1"/>
    <col min="5637" max="5637" width="104.85546875" style="553" hidden="1"/>
    <col min="5638" max="5638" width="38.42578125" style="553" hidden="1"/>
    <col min="5639" max="5639" width="29.7109375" style="553" hidden="1"/>
    <col min="5640" max="5640" width="19" style="553" hidden="1"/>
    <col min="5641" max="5642" width="15.42578125" style="553" hidden="1"/>
    <col min="5643" max="5643" width="19.7109375" style="553" hidden="1"/>
    <col min="5644" max="5644" width="15.42578125" style="553" hidden="1"/>
    <col min="5645" max="5645" width="22.140625" style="553" hidden="1"/>
    <col min="5646" max="5646" width="15.42578125" style="553" hidden="1"/>
    <col min="5647" max="5647" width="20.42578125" style="553" hidden="1"/>
    <col min="5648" max="5648" width="21.28515625" style="553" hidden="1"/>
    <col min="5649" max="5649" width="15.42578125" style="553" hidden="1"/>
    <col min="5650" max="5650" width="19.42578125" style="553" hidden="1"/>
    <col min="5651" max="5651" width="50.42578125" style="553" hidden="1"/>
    <col min="5652" max="5652" width="17.7109375" style="553" hidden="1"/>
    <col min="5653" max="5653" width="44.28515625" style="553" hidden="1"/>
    <col min="5654" max="5654" width="53.140625" style="553" hidden="1"/>
    <col min="5655" max="5655" width="36.140625" style="553" hidden="1"/>
    <col min="5656" max="5659" width="11.42578125" style="553" hidden="1"/>
    <col min="5660" max="5888" width="10.7109375" style="553" hidden="1"/>
    <col min="5889" max="5889" width="39.42578125" style="553" hidden="1"/>
    <col min="5890" max="5890" width="41.28515625" style="553" hidden="1"/>
    <col min="5891" max="5891" width="27.42578125" style="553" hidden="1"/>
    <col min="5892" max="5892" width="45.28515625" style="553" hidden="1"/>
    <col min="5893" max="5893" width="104.85546875" style="553" hidden="1"/>
    <col min="5894" max="5894" width="38.42578125" style="553" hidden="1"/>
    <col min="5895" max="5895" width="29.7109375" style="553" hidden="1"/>
    <col min="5896" max="5896" width="19" style="553" hidden="1"/>
    <col min="5897" max="5898" width="15.42578125" style="553" hidden="1"/>
    <col min="5899" max="5899" width="19.7109375" style="553" hidden="1"/>
    <col min="5900" max="5900" width="15.42578125" style="553" hidden="1"/>
    <col min="5901" max="5901" width="22.140625" style="553" hidden="1"/>
    <col min="5902" max="5902" width="15.42578125" style="553" hidden="1"/>
    <col min="5903" max="5903" width="20.42578125" style="553" hidden="1"/>
    <col min="5904" max="5904" width="21.28515625" style="553" hidden="1"/>
    <col min="5905" max="5905" width="15.42578125" style="553" hidden="1"/>
    <col min="5906" max="5906" width="19.42578125" style="553" hidden="1"/>
    <col min="5907" max="5907" width="50.42578125" style="553" hidden="1"/>
    <col min="5908" max="5908" width="17.7109375" style="553" hidden="1"/>
    <col min="5909" max="5909" width="44.28515625" style="553" hidden="1"/>
    <col min="5910" max="5910" width="53.140625" style="553" hidden="1"/>
    <col min="5911" max="5911" width="36.140625" style="553" hidden="1"/>
    <col min="5912" max="5915" width="11.42578125" style="553" hidden="1"/>
    <col min="5916" max="6144" width="10.7109375" style="553" hidden="1"/>
    <col min="6145" max="6145" width="39.42578125" style="553" hidden="1"/>
    <col min="6146" max="6146" width="41.28515625" style="553" hidden="1"/>
    <col min="6147" max="6147" width="27.42578125" style="553" hidden="1"/>
    <col min="6148" max="6148" width="45.28515625" style="553" hidden="1"/>
    <col min="6149" max="6149" width="104.85546875" style="553" hidden="1"/>
    <col min="6150" max="6150" width="38.42578125" style="553" hidden="1"/>
    <col min="6151" max="6151" width="29.7109375" style="553" hidden="1"/>
    <col min="6152" max="6152" width="19" style="553" hidden="1"/>
    <col min="6153" max="6154" width="15.42578125" style="553" hidden="1"/>
    <col min="6155" max="6155" width="19.7109375" style="553" hidden="1"/>
    <col min="6156" max="6156" width="15.42578125" style="553" hidden="1"/>
    <col min="6157" max="6157" width="22.140625" style="553" hidden="1"/>
    <col min="6158" max="6158" width="15.42578125" style="553" hidden="1"/>
    <col min="6159" max="6159" width="20.42578125" style="553" hidden="1"/>
    <col min="6160" max="6160" width="21.28515625" style="553" hidden="1"/>
    <col min="6161" max="6161" width="15.42578125" style="553" hidden="1"/>
    <col min="6162" max="6162" width="19.42578125" style="553" hidden="1"/>
    <col min="6163" max="6163" width="50.42578125" style="553" hidden="1"/>
    <col min="6164" max="6164" width="17.7109375" style="553" hidden="1"/>
    <col min="6165" max="6165" width="44.28515625" style="553" hidden="1"/>
    <col min="6166" max="6166" width="53.140625" style="553" hidden="1"/>
    <col min="6167" max="6167" width="36.140625" style="553" hidden="1"/>
    <col min="6168" max="6171" width="11.42578125" style="553" hidden="1"/>
    <col min="6172" max="6400" width="10.7109375" style="553" hidden="1"/>
    <col min="6401" max="6401" width="39.42578125" style="553" hidden="1"/>
    <col min="6402" max="6402" width="41.28515625" style="553" hidden="1"/>
    <col min="6403" max="6403" width="27.42578125" style="553" hidden="1"/>
    <col min="6404" max="6404" width="45.28515625" style="553" hidden="1"/>
    <col min="6405" max="6405" width="104.85546875" style="553" hidden="1"/>
    <col min="6406" max="6406" width="38.42578125" style="553" hidden="1"/>
    <col min="6407" max="6407" width="29.7109375" style="553" hidden="1"/>
    <col min="6408" max="6408" width="19" style="553" hidden="1"/>
    <col min="6409" max="6410" width="15.42578125" style="553" hidden="1"/>
    <col min="6411" max="6411" width="19.7109375" style="553" hidden="1"/>
    <col min="6412" max="6412" width="15.42578125" style="553" hidden="1"/>
    <col min="6413" max="6413" width="22.140625" style="553" hidden="1"/>
    <col min="6414" max="6414" width="15.42578125" style="553" hidden="1"/>
    <col min="6415" max="6415" width="20.42578125" style="553" hidden="1"/>
    <col min="6416" max="6416" width="21.28515625" style="553" hidden="1"/>
    <col min="6417" max="6417" width="15.42578125" style="553" hidden="1"/>
    <col min="6418" max="6418" width="19.42578125" style="553" hidden="1"/>
    <col min="6419" max="6419" width="50.42578125" style="553" hidden="1"/>
    <col min="6420" max="6420" width="17.7109375" style="553" hidden="1"/>
    <col min="6421" max="6421" width="44.28515625" style="553" hidden="1"/>
    <col min="6422" max="6422" width="53.140625" style="553" hidden="1"/>
    <col min="6423" max="6423" width="36.140625" style="553" hidden="1"/>
    <col min="6424" max="6427" width="11.42578125" style="553" hidden="1"/>
    <col min="6428" max="6656" width="10.7109375" style="553" hidden="1"/>
    <col min="6657" max="6657" width="39.42578125" style="553" hidden="1"/>
    <col min="6658" max="6658" width="41.28515625" style="553" hidden="1"/>
    <col min="6659" max="6659" width="27.42578125" style="553" hidden="1"/>
    <col min="6660" max="6660" width="45.28515625" style="553" hidden="1"/>
    <col min="6661" max="6661" width="104.85546875" style="553" hidden="1"/>
    <col min="6662" max="6662" width="38.42578125" style="553" hidden="1"/>
    <col min="6663" max="6663" width="29.7109375" style="553" hidden="1"/>
    <col min="6664" max="6664" width="19" style="553" hidden="1"/>
    <col min="6665" max="6666" width="15.42578125" style="553" hidden="1"/>
    <col min="6667" max="6667" width="19.7109375" style="553" hidden="1"/>
    <col min="6668" max="6668" width="15.42578125" style="553" hidden="1"/>
    <col min="6669" max="6669" width="22.140625" style="553" hidden="1"/>
    <col min="6670" max="6670" width="15.42578125" style="553" hidden="1"/>
    <col min="6671" max="6671" width="20.42578125" style="553" hidden="1"/>
    <col min="6672" max="6672" width="21.28515625" style="553" hidden="1"/>
    <col min="6673" max="6673" width="15.42578125" style="553" hidden="1"/>
    <col min="6674" max="6674" width="19.42578125" style="553" hidden="1"/>
    <col min="6675" max="6675" width="50.42578125" style="553" hidden="1"/>
    <col min="6676" max="6676" width="17.7109375" style="553" hidden="1"/>
    <col min="6677" max="6677" width="44.28515625" style="553" hidden="1"/>
    <col min="6678" max="6678" width="53.140625" style="553" hidden="1"/>
    <col min="6679" max="6679" width="36.140625" style="553" hidden="1"/>
    <col min="6680" max="6683" width="11.42578125" style="553" hidden="1"/>
    <col min="6684" max="6912" width="10.7109375" style="553" hidden="1"/>
    <col min="6913" max="6913" width="39.42578125" style="553" hidden="1"/>
    <col min="6914" max="6914" width="41.28515625" style="553" hidden="1"/>
    <col min="6915" max="6915" width="27.42578125" style="553" hidden="1"/>
    <col min="6916" max="6916" width="45.28515625" style="553" hidden="1"/>
    <col min="6917" max="6917" width="104.85546875" style="553" hidden="1"/>
    <col min="6918" max="6918" width="38.42578125" style="553" hidden="1"/>
    <col min="6919" max="6919" width="29.7109375" style="553" hidden="1"/>
    <col min="6920" max="6920" width="19" style="553" hidden="1"/>
    <col min="6921" max="6922" width="15.42578125" style="553" hidden="1"/>
    <col min="6923" max="6923" width="19.7109375" style="553" hidden="1"/>
    <col min="6924" max="6924" width="15.42578125" style="553" hidden="1"/>
    <col min="6925" max="6925" width="22.140625" style="553" hidden="1"/>
    <col min="6926" max="6926" width="15.42578125" style="553" hidden="1"/>
    <col min="6927" max="6927" width="20.42578125" style="553" hidden="1"/>
    <col min="6928" max="6928" width="21.28515625" style="553" hidden="1"/>
    <col min="6929" max="6929" width="15.42578125" style="553" hidden="1"/>
    <col min="6930" max="6930" width="19.42578125" style="553" hidden="1"/>
    <col min="6931" max="6931" width="50.42578125" style="553" hidden="1"/>
    <col min="6932" max="6932" width="17.7109375" style="553" hidden="1"/>
    <col min="6933" max="6933" width="44.28515625" style="553" hidden="1"/>
    <col min="6934" max="6934" width="53.140625" style="553" hidden="1"/>
    <col min="6935" max="6935" width="36.140625" style="553" hidden="1"/>
    <col min="6936" max="6939" width="11.42578125" style="553" hidden="1"/>
    <col min="6940" max="7168" width="10.7109375" style="553" hidden="1"/>
    <col min="7169" max="7169" width="39.42578125" style="553" hidden="1"/>
    <col min="7170" max="7170" width="41.28515625" style="553" hidden="1"/>
    <col min="7171" max="7171" width="27.42578125" style="553" hidden="1"/>
    <col min="7172" max="7172" width="45.28515625" style="553" hidden="1"/>
    <col min="7173" max="7173" width="104.85546875" style="553" hidden="1"/>
    <col min="7174" max="7174" width="38.42578125" style="553" hidden="1"/>
    <col min="7175" max="7175" width="29.7109375" style="553" hidden="1"/>
    <col min="7176" max="7176" width="19" style="553" hidden="1"/>
    <col min="7177" max="7178" width="15.42578125" style="553" hidden="1"/>
    <col min="7179" max="7179" width="19.7109375" style="553" hidden="1"/>
    <col min="7180" max="7180" width="15.42578125" style="553" hidden="1"/>
    <col min="7181" max="7181" width="22.140625" style="553" hidden="1"/>
    <col min="7182" max="7182" width="15.42578125" style="553" hidden="1"/>
    <col min="7183" max="7183" width="20.42578125" style="553" hidden="1"/>
    <col min="7184" max="7184" width="21.28515625" style="553" hidden="1"/>
    <col min="7185" max="7185" width="15.42578125" style="553" hidden="1"/>
    <col min="7186" max="7186" width="19.42578125" style="553" hidden="1"/>
    <col min="7187" max="7187" width="50.42578125" style="553" hidden="1"/>
    <col min="7188" max="7188" width="17.7109375" style="553" hidden="1"/>
    <col min="7189" max="7189" width="44.28515625" style="553" hidden="1"/>
    <col min="7190" max="7190" width="53.140625" style="553" hidden="1"/>
    <col min="7191" max="7191" width="36.140625" style="553" hidden="1"/>
    <col min="7192" max="7195" width="11.42578125" style="553" hidden="1"/>
    <col min="7196" max="7424" width="10.7109375" style="553" hidden="1"/>
    <col min="7425" max="7425" width="39.42578125" style="553" hidden="1"/>
    <col min="7426" max="7426" width="41.28515625" style="553" hidden="1"/>
    <col min="7427" max="7427" width="27.42578125" style="553" hidden="1"/>
    <col min="7428" max="7428" width="45.28515625" style="553" hidden="1"/>
    <col min="7429" max="7429" width="104.85546875" style="553" hidden="1"/>
    <col min="7430" max="7430" width="38.42578125" style="553" hidden="1"/>
    <col min="7431" max="7431" width="29.7109375" style="553" hidden="1"/>
    <col min="7432" max="7432" width="19" style="553" hidden="1"/>
    <col min="7433" max="7434" width="15.42578125" style="553" hidden="1"/>
    <col min="7435" max="7435" width="19.7109375" style="553" hidden="1"/>
    <col min="7436" max="7436" width="15.42578125" style="553" hidden="1"/>
    <col min="7437" max="7437" width="22.140625" style="553" hidden="1"/>
    <col min="7438" max="7438" width="15.42578125" style="553" hidden="1"/>
    <col min="7439" max="7439" width="20.42578125" style="553" hidden="1"/>
    <col min="7440" max="7440" width="21.28515625" style="553" hidden="1"/>
    <col min="7441" max="7441" width="15.42578125" style="553" hidden="1"/>
    <col min="7442" max="7442" width="19.42578125" style="553" hidden="1"/>
    <col min="7443" max="7443" width="50.42578125" style="553" hidden="1"/>
    <col min="7444" max="7444" width="17.7109375" style="553" hidden="1"/>
    <col min="7445" max="7445" width="44.28515625" style="553" hidden="1"/>
    <col min="7446" max="7446" width="53.140625" style="553" hidden="1"/>
    <col min="7447" max="7447" width="36.140625" style="553" hidden="1"/>
    <col min="7448" max="7451" width="11.42578125" style="553" hidden="1"/>
    <col min="7452" max="7680" width="10.7109375" style="553" hidden="1"/>
    <col min="7681" max="7681" width="39.42578125" style="553" hidden="1"/>
    <col min="7682" max="7682" width="41.28515625" style="553" hidden="1"/>
    <col min="7683" max="7683" width="27.42578125" style="553" hidden="1"/>
    <col min="7684" max="7684" width="45.28515625" style="553" hidden="1"/>
    <col min="7685" max="7685" width="104.85546875" style="553" hidden="1"/>
    <col min="7686" max="7686" width="38.42578125" style="553" hidden="1"/>
    <col min="7687" max="7687" width="29.7109375" style="553" hidden="1"/>
    <col min="7688" max="7688" width="19" style="553" hidden="1"/>
    <col min="7689" max="7690" width="15.42578125" style="553" hidden="1"/>
    <col min="7691" max="7691" width="19.7109375" style="553" hidden="1"/>
    <col min="7692" max="7692" width="15.42578125" style="553" hidden="1"/>
    <col min="7693" max="7693" width="22.140625" style="553" hidden="1"/>
    <col min="7694" max="7694" width="15.42578125" style="553" hidden="1"/>
    <col min="7695" max="7695" width="20.42578125" style="553" hidden="1"/>
    <col min="7696" max="7696" width="21.28515625" style="553" hidden="1"/>
    <col min="7697" max="7697" width="15.42578125" style="553" hidden="1"/>
    <col min="7698" max="7698" width="19.42578125" style="553" hidden="1"/>
    <col min="7699" max="7699" width="50.42578125" style="553" hidden="1"/>
    <col min="7700" max="7700" width="17.7109375" style="553" hidden="1"/>
    <col min="7701" max="7701" width="44.28515625" style="553" hidden="1"/>
    <col min="7702" max="7702" width="53.140625" style="553" hidden="1"/>
    <col min="7703" max="7703" width="36.140625" style="553" hidden="1"/>
    <col min="7704" max="7707" width="11.42578125" style="553" hidden="1"/>
    <col min="7708" max="7936" width="10.7109375" style="553" hidden="1"/>
    <col min="7937" max="7937" width="39.42578125" style="553" hidden="1"/>
    <col min="7938" max="7938" width="41.28515625" style="553" hidden="1"/>
    <col min="7939" max="7939" width="27.42578125" style="553" hidden="1"/>
    <col min="7940" max="7940" width="45.28515625" style="553" hidden="1"/>
    <col min="7941" max="7941" width="104.85546875" style="553" hidden="1"/>
    <col min="7942" max="7942" width="38.42578125" style="553" hidden="1"/>
    <col min="7943" max="7943" width="29.7109375" style="553" hidden="1"/>
    <col min="7944" max="7944" width="19" style="553" hidden="1"/>
    <col min="7945" max="7946" width="15.42578125" style="553" hidden="1"/>
    <col min="7947" max="7947" width="19.7109375" style="553" hidden="1"/>
    <col min="7948" max="7948" width="15.42578125" style="553" hidden="1"/>
    <col min="7949" max="7949" width="22.140625" style="553" hidden="1"/>
    <col min="7950" max="7950" width="15.42578125" style="553" hidden="1"/>
    <col min="7951" max="7951" width="20.42578125" style="553" hidden="1"/>
    <col min="7952" max="7952" width="21.28515625" style="553" hidden="1"/>
    <col min="7953" max="7953" width="15.42578125" style="553" hidden="1"/>
    <col min="7954" max="7954" width="19.42578125" style="553" hidden="1"/>
    <col min="7955" max="7955" width="50.42578125" style="553" hidden="1"/>
    <col min="7956" max="7956" width="17.7109375" style="553" hidden="1"/>
    <col min="7957" max="7957" width="44.28515625" style="553" hidden="1"/>
    <col min="7958" max="7958" width="53.140625" style="553" hidden="1"/>
    <col min="7959" max="7959" width="36.140625" style="553" hidden="1"/>
    <col min="7960" max="7963" width="11.42578125" style="553" hidden="1"/>
    <col min="7964" max="8192" width="10.7109375" style="553" hidden="1"/>
    <col min="8193" max="8193" width="39.42578125" style="553" hidden="1"/>
    <col min="8194" max="8194" width="41.28515625" style="553" hidden="1"/>
    <col min="8195" max="8195" width="27.42578125" style="553" hidden="1"/>
    <col min="8196" max="8196" width="45.28515625" style="553" hidden="1"/>
    <col min="8197" max="8197" width="104.85546875" style="553" hidden="1"/>
    <col min="8198" max="8198" width="38.42578125" style="553" hidden="1"/>
    <col min="8199" max="8199" width="29.7109375" style="553" hidden="1"/>
    <col min="8200" max="8200" width="19" style="553" hidden="1"/>
    <col min="8201" max="8202" width="15.42578125" style="553" hidden="1"/>
    <col min="8203" max="8203" width="19.7109375" style="553" hidden="1"/>
    <col min="8204" max="8204" width="15.42578125" style="553" hidden="1"/>
    <col min="8205" max="8205" width="22.140625" style="553" hidden="1"/>
    <col min="8206" max="8206" width="15.42578125" style="553" hidden="1"/>
    <col min="8207" max="8207" width="20.42578125" style="553" hidden="1"/>
    <col min="8208" max="8208" width="21.28515625" style="553" hidden="1"/>
    <col min="8209" max="8209" width="15.42578125" style="553" hidden="1"/>
    <col min="8210" max="8210" width="19.42578125" style="553" hidden="1"/>
    <col min="8211" max="8211" width="50.42578125" style="553" hidden="1"/>
    <col min="8212" max="8212" width="17.7109375" style="553" hidden="1"/>
    <col min="8213" max="8213" width="44.28515625" style="553" hidden="1"/>
    <col min="8214" max="8214" width="53.140625" style="553" hidden="1"/>
    <col min="8215" max="8215" width="36.140625" style="553" hidden="1"/>
    <col min="8216" max="8219" width="11.42578125" style="553" hidden="1"/>
    <col min="8220" max="8448" width="10.7109375" style="553" hidden="1"/>
    <col min="8449" max="8449" width="39.42578125" style="553" hidden="1"/>
    <col min="8450" max="8450" width="41.28515625" style="553" hidden="1"/>
    <col min="8451" max="8451" width="27.42578125" style="553" hidden="1"/>
    <col min="8452" max="8452" width="45.28515625" style="553" hidden="1"/>
    <col min="8453" max="8453" width="104.85546875" style="553" hidden="1"/>
    <col min="8454" max="8454" width="38.42578125" style="553" hidden="1"/>
    <col min="8455" max="8455" width="29.7109375" style="553" hidden="1"/>
    <col min="8456" max="8456" width="19" style="553" hidden="1"/>
    <col min="8457" max="8458" width="15.42578125" style="553" hidden="1"/>
    <col min="8459" max="8459" width="19.7109375" style="553" hidden="1"/>
    <col min="8460" max="8460" width="15.42578125" style="553" hidden="1"/>
    <col min="8461" max="8461" width="22.140625" style="553" hidden="1"/>
    <col min="8462" max="8462" width="15.42578125" style="553" hidden="1"/>
    <col min="8463" max="8463" width="20.42578125" style="553" hidden="1"/>
    <col min="8464" max="8464" width="21.28515625" style="553" hidden="1"/>
    <col min="8465" max="8465" width="15.42578125" style="553" hidden="1"/>
    <col min="8466" max="8466" width="19.42578125" style="553" hidden="1"/>
    <col min="8467" max="8467" width="50.42578125" style="553" hidden="1"/>
    <col min="8468" max="8468" width="17.7109375" style="553" hidden="1"/>
    <col min="8469" max="8469" width="44.28515625" style="553" hidden="1"/>
    <col min="8470" max="8470" width="53.140625" style="553" hidden="1"/>
    <col min="8471" max="8471" width="36.140625" style="553" hidden="1"/>
    <col min="8472" max="8475" width="11.42578125" style="553" hidden="1"/>
    <col min="8476" max="8704" width="10.7109375" style="553" hidden="1"/>
    <col min="8705" max="8705" width="39.42578125" style="553" hidden="1"/>
    <col min="8706" max="8706" width="41.28515625" style="553" hidden="1"/>
    <col min="8707" max="8707" width="27.42578125" style="553" hidden="1"/>
    <col min="8708" max="8708" width="45.28515625" style="553" hidden="1"/>
    <col min="8709" max="8709" width="104.85546875" style="553" hidden="1"/>
    <col min="8710" max="8710" width="38.42578125" style="553" hidden="1"/>
    <col min="8711" max="8711" width="29.7109375" style="553" hidden="1"/>
    <col min="8712" max="8712" width="19" style="553" hidden="1"/>
    <col min="8713" max="8714" width="15.42578125" style="553" hidden="1"/>
    <col min="8715" max="8715" width="19.7109375" style="553" hidden="1"/>
    <col min="8716" max="8716" width="15.42578125" style="553" hidden="1"/>
    <col min="8717" max="8717" width="22.140625" style="553" hidden="1"/>
    <col min="8718" max="8718" width="15.42578125" style="553" hidden="1"/>
    <col min="8719" max="8719" width="20.42578125" style="553" hidden="1"/>
    <col min="8720" max="8720" width="21.28515625" style="553" hidden="1"/>
    <col min="8721" max="8721" width="15.42578125" style="553" hidden="1"/>
    <col min="8722" max="8722" width="19.42578125" style="553" hidden="1"/>
    <col min="8723" max="8723" width="50.42578125" style="553" hidden="1"/>
    <col min="8724" max="8724" width="17.7109375" style="553" hidden="1"/>
    <col min="8725" max="8725" width="44.28515625" style="553" hidden="1"/>
    <col min="8726" max="8726" width="53.140625" style="553" hidden="1"/>
    <col min="8727" max="8727" width="36.140625" style="553" hidden="1"/>
    <col min="8728" max="8731" width="11.42578125" style="553" hidden="1"/>
    <col min="8732" max="8960" width="10.7109375" style="553" hidden="1"/>
    <col min="8961" max="8961" width="39.42578125" style="553" hidden="1"/>
    <col min="8962" max="8962" width="41.28515625" style="553" hidden="1"/>
    <col min="8963" max="8963" width="27.42578125" style="553" hidden="1"/>
    <col min="8964" max="8964" width="45.28515625" style="553" hidden="1"/>
    <col min="8965" max="8965" width="104.85546875" style="553" hidden="1"/>
    <col min="8966" max="8966" width="38.42578125" style="553" hidden="1"/>
    <col min="8967" max="8967" width="29.7109375" style="553" hidden="1"/>
    <col min="8968" max="8968" width="19" style="553" hidden="1"/>
    <col min="8969" max="8970" width="15.42578125" style="553" hidden="1"/>
    <col min="8971" max="8971" width="19.7109375" style="553" hidden="1"/>
    <col min="8972" max="8972" width="15.42578125" style="553" hidden="1"/>
    <col min="8973" max="8973" width="22.140625" style="553" hidden="1"/>
    <col min="8974" max="8974" width="15.42578125" style="553" hidden="1"/>
    <col min="8975" max="8975" width="20.42578125" style="553" hidden="1"/>
    <col min="8976" max="8976" width="21.28515625" style="553" hidden="1"/>
    <col min="8977" max="8977" width="15.42578125" style="553" hidden="1"/>
    <col min="8978" max="8978" width="19.42578125" style="553" hidden="1"/>
    <col min="8979" max="8979" width="50.42578125" style="553" hidden="1"/>
    <col min="8980" max="8980" width="17.7109375" style="553" hidden="1"/>
    <col min="8981" max="8981" width="44.28515625" style="553" hidden="1"/>
    <col min="8982" max="8982" width="53.140625" style="553" hidden="1"/>
    <col min="8983" max="8983" width="36.140625" style="553" hidden="1"/>
    <col min="8984" max="8987" width="11.42578125" style="553" hidden="1"/>
    <col min="8988" max="9216" width="10.7109375" style="553" hidden="1"/>
    <col min="9217" max="9217" width="39.42578125" style="553" hidden="1"/>
    <col min="9218" max="9218" width="41.28515625" style="553" hidden="1"/>
    <col min="9219" max="9219" width="27.42578125" style="553" hidden="1"/>
    <col min="9220" max="9220" width="45.28515625" style="553" hidden="1"/>
    <col min="9221" max="9221" width="104.85546875" style="553" hidden="1"/>
    <col min="9222" max="9222" width="38.42578125" style="553" hidden="1"/>
    <col min="9223" max="9223" width="29.7109375" style="553" hidden="1"/>
    <col min="9224" max="9224" width="19" style="553" hidden="1"/>
    <col min="9225" max="9226" width="15.42578125" style="553" hidden="1"/>
    <col min="9227" max="9227" width="19.7109375" style="553" hidden="1"/>
    <col min="9228" max="9228" width="15.42578125" style="553" hidden="1"/>
    <col min="9229" max="9229" width="22.140625" style="553" hidden="1"/>
    <col min="9230" max="9230" width="15.42578125" style="553" hidden="1"/>
    <col min="9231" max="9231" width="20.42578125" style="553" hidden="1"/>
    <col min="9232" max="9232" width="21.28515625" style="553" hidden="1"/>
    <col min="9233" max="9233" width="15.42578125" style="553" hidden="1"/>
    <col min="9234" max="9234" width="19.42578125" style="553" hidden="1"/>
    <col min="9235" max="9235" width="50.42578125" style="553" hidden="1"/>
    <col min="9236" max="9236" width="17.7109375" style="553" hidden="1"/>
    <col min="9237" max="9237" width="44.28515625" style="553" hidden="1"/>
    <col min="9238" max="9238" width="53.140625" style="553" hidden="1"/>
    <col min="9239" max="9239" width="36.140625" style="553" hidden="1"/>
    <col min="9240" max="9243" width="11.42578125" style="553" hidden="1"/>
    <col min="9244" max="9472" width="10.7109375" style="553" hidden="1"/>
    <col min="9473" max="9473" width="39.42578125" style="553" hidden="1"/>
    <col min="9474" max="9474" width="41.28515625" style="553" hidden="1"/>
    <col min="9475" max="9475" width="27.42578125" style="553" hidden="1"/>
    <col min="9476" max="9476" width="45.28515625" style="553" hidden="1"/>
    <col min="9477" max="9477" width="104.85546875" style="553" hidden="1"/>
    <col min="9478" max="9478" width="38.42578125" style="553" hidden="1"/>
    <col min="9479" max="9479" width="29.7109375" style="553" hidden="1"/>
    <col min="9480" max="9480" width="19" style="553" hidden="1"/>
    <col min="9481" max="9482" width="15.42578125" style="553" hidden="1"/>
    <col min="9483" max="9483" width="19.7109375" style="553" hidden="1"/>
    <col min="9484" max="9484" width="15.42578125" style="553" hidden="1"/>
    <col min="9485" max="9485" width="22.140625" style="553" hidden="1"/>
    <col min="9486" max="9486" width="15.42578125" style="553" hidden="1"/>
    <col min="9487" max="9487" width="20.42578125" style="553" hidden="1"/>
    <col min="9488" max="9488" width="21.28515625" style="553" hidden="1"/>
    <col min="9489" max="9489" width="15.42578125" style="553" hidden="1"/>
    <col min="9490" max="9490" width="19.42578125" style="553" hidden="1"/>
    <col min="9491" max="9491" width="50.42578125" style="553" hidden="1"/>
    <col min="9492" max="9492" width="17.7109375" style="553" hidden="1"/>
    <col min="9493" max="9493" width="44.28515625" style="553" hidden="1"/>
    <col min="9494" max="9494" width="53.140625" style="553" hidden="1"/>
    <col min="9495" max="9495" width="36.140625" style="553" hidden="1"/>
    <col min="9496" max="9499" width="11.42578125" style="553" hidden="1"/>
    <col min="9500" max="9728" width="10.7109375" style="553" hidden="1"/>
    <col min="9729" max="9729" width="39.42578125" style="553" hidden="1"/>
    <col min="9730" max="9730" width="41.28515625" style="553" hidden="1"/>
    <col min="9731" max="9731" width="27.42578125" style="553" hidden="1"/>
    <col min="9732" max="9732" width="45.28515625" style="553" hidden="1"/>
    <col min="9733" max="9733" width="104.85546875" style="553" hidden="1"/>
    <col min="9734" max="9734" width="38.42578125" style="553" hidden="1"/>
    <col min="9735" max="9735" width="29.7109375" style="553" hidden="1"/>
    <col min="9736" max="9736" width="19" style="553" hidden="1"/>
    <col min="9737" max="9738" width="15.42578125" style="553" hidden="1"/>
    <col min="9739" max="9739" width="19.7109375" style="553" hidden="1"/>
    <col min="9740" max="9740" width="15.42578125" style="553" hidden="1"/>
    <col min="9741" max="9741" width="22.140625" style="553" hidden="1"/>
    <col min="9742" max="9742" width="15.42578125" style="553" hidden="1"/>
    <col min="9743" max="9743" width="20.42578125" style="553" hidden="1"/>
    <col min="9744" max="9744" width="21.28515625" style="553" hidden="1"/>
    <col min="9745" max="9745" width="15.42578125" style="553" hidden="1"/>
    <col min="9746" max="9746" width="19.42578125" style="553" hidden="1"/>
    <col min="9747" max="9747" width="50.42578125" style="553" hidden="1"/>
    <col min="9748" max="9748" width="17.7109375" style="553" hidden="1"/>
    <col min="9749" max="9749" width="44.28515625" style="553" hidden="1"/>
    <col min="9750" max="9750" width="53.140625" style="553" hidden="1"/>
    <col min="9751" max="9751" width="36.140625" style="553" hidden="1"/>
    <col min="9752" max="9755" width="11.42578125" style="553" hidden="1"/>
    <col min="9756" max="9984" width="10.7109375" style="553" hidden="1"/>
    <col min="9985" max="9985" width="39.42578125" style="553" hidden="1"/>
    <col min="9986" max="9986" width="41.28515625" style="553" hidden="1"/>
    <col min="9987" max="9987" width="27.42578125" style="553" hidden="1"/>
    <col min="9988" max="9988" width="45.28515625" style="553" hidden="1"/>
    <col min="9989" max="9989" width="104.85546875" style="553" hidden="1"/>
    <col min="9990" max="9990" width="38.42578125" style="553" hidden="1"/>
    <col min="9991" max="9991" width="29.7109375" style="553" hidden="1"/>
    <col min="9992" max="9992" width="19" style="553" hidden="1"/>
    <col min="9993" max="9994" width="15.42578125" style="553" hidden="1"/>
    <col min="9995" max="9995" width="19.7109375" style="553" hidden="1"/>
    <col min="9996" max="9996" width="15.42578125" style="553" hidden="1"/>
    <col min="9997" max="9997" width="22.140625" style="553" hidden="1"/>
    <col min="9998" max="9998" width="15.42578125" style="553" hidden="1"/>
    <col min="9999" max="9999" width="20.42578125" style="553" hidden="1"/>
    <col min="10000" max="10000" width="21.28515625" style="553" hidden="1"/>
    <col min="10001" max="10001" width="15.42578125" style="553" hidden="1"/>
    <col min="10002" max="10002" width="19.42578125" style="553" hidden="1"/>
    <col min="10003" max="10003" width="50.42578125" style="553" hidden="1"/>
    <col min="10004" max="10004" width="17.7109375" style="553" hidden="1"/>
    <col min="10005" max="10005" width="44.28515625" style="553" hidden="1"/>
    <col min="10006" max="10006" width="53.140625" style="553" hidden="1"/>
    <col min="10007" max="10007" width="36.140625" style="553" hidden="1"/>
    <col min="10008" max="10011" width="11.42578125" style="553" hidden="1"/>
    <col min="10012" max="10240" width="10.7109375" style="553" hidden="1"/>
    <col min="10241" max="10241" width="39.42578125" style="553" hidden="1"/>
    <col min="10242" max="10242" width="41.28515625" style="553" hidden="1"/>
    <col min="10243" max="10243" width="27.42578125" style="553" hidden="1"/>
    <col min="10244" max="10244" width="45.28515625" style="553" hidden="1"/>
    <col min="10245" max="10245" width="104.85546875" style="553" hidden="1"/>
    <col min="10246" max="10246" width="38.42578125" style="553" hidden="1"/>
    <col min="10247" max="10247" width="29.7109375" style="553" hidden="1"/>
    <col min="10248" max="10248" width="19" style="553" hidden="1"/>
    <col min="10249" max="10250" width="15.42578125" style="553" hidden="1"/>
    <col min="10251" max="10251" width="19.7109375" style="553" hidden="1"/>
    <col min="10252" max="10252" width="15.42578125" style="553" hidden="1"/>
    <col min="10253" max="10253" width="22.140625" style="553" hidden="1"/>
    <col min="10254" max="10254" width="15.42578125" style="553" hidden="1"/>
    <col min="10255" max="10255" width="20.42578125" style="553" hidden="1"/>
    <col min="10256" max="10256" width="21.28515625" style="553" hidden="1"/>
    <col min="10257" max="10257" width="15.42578125" style="553" hidden="1"/>
    <col min="10258" max="10258" width="19.42578125" style="553" hidden="1"/>
    <col min="10259" max="10259" width="50.42578125" style="553" hidden="1"/>
    <col min="10260" max="10260" width="17.7109375" style="553" hidden="1"/>
    <col min="10261" max="10261" width="44.28515625" style="553" hidden="1"/>
    <col min="10262" max="10262" width="53.140625" style="553" hidden="1"/>
    <col min="10263" max="10263" width="36.140625" style="553" hidden="1"/>
    <col min="10264" max="10267" width="11.42578125" style="553" hidden="1"/>
    <col min="10268" max="10496" width="10.7109375" style="553" hidden="1"/>
    <col min="10497" max="10497" width="39.42578125" style="553" hidden="1"/>
    <col min="10498" max="10498" width="41.28515625" style="553" hidden="1"/>
    <col min="10499" max="10499" width="27.42578125" style="553" hidden="1"/>
    <col min="10500" max="10500" width="45.28515625" style="553" hidden="1"/>
    <col min="10501" max="10501" width="104.85546875" style="553" hidden="1"/>
    <col min="10502" max="10502" width="38.42578125" style="553" hidden="1"/>
    <col min="10503" max="10503" width="29.7109375" style="553" hidden="1"/>
    <col min="10504" max="10504" width="19" style="553" hidden="1"/>
    <col min="10505" max="10506" width="15.42578125" style="553" hidden="1"/>
    <col min="10507" max="10507" width="19.7109375" style="553" hidden="1"/>
    <col min="10508" max="10508" width="15.42578125" style="553" hidden="1"/>
    <col min="10509" max="10509" width="22.140625" style="553" hidden="1"/>
    <col min="10510" max="10510" width="15.42578125" style="553" hidden="1"/>
    <col min="10511" max="10511" width="20.42578125" style="553" hidden="1"/>
    <col min="10512" max="10512" width="21.28515625" style="553" hidden="1"/>
    <col min="10513" max="10513" width="15.42578125" style="553" hidden="1"/>
    <col min="10514" max="10514" width="19.42578125" style="553" hidden="1"/>
    <col min="10515" max="10515" width="50.42578125" style="553" hidden="1"/>
    <col min="10516" max="10516" width="17.7109375" style="553" hidden="1"/>
    <col min="10517" max="10517" width="44.28515625" style="553" hidden="1"/>
    <col min="10518" max="10518" width="53.140625" style="553" hidden="1"/>
    <col min="10519" max="10519" width="36.140625" style="553" hidden="1"/>
    <col min="10520" max="10523" width="11.42578125" style="553" hidden="1"/>
    <col min="10524" max="10752" width="10.7109375" style="553" hidden="1"/>
    <col min="10753" max="10753" width="39.42578125" style="553" hidden="1"/>
    <col min="10754" max="10754" width="41.28515625" style="553" hidden="1"/>
    <col min="10755" max="10755" width="27.42578125" style="553" hidden="1"/>
    <col min="10756" max="10756" width="45.28515625" style="553" hidden="1"/>
    <col min="10757" max="10757" width="104.85546875" style="553" hidden="1"/>
    <col min="10758" max="10758" width="38.42578125" style="553" hidden="1"/>
    <col min="10759" max="10759" width="29.7109375" style="553" hidden="1"/>
    <col min="10760" max="10760" width="19" style="553" hidden="1"/>
    <col min="10761" max="10762" width="15.42578125" style="553" hidden="1"/>
    <col min="10763" max="10763" width="19.7109375" style="553" hidden="1"/>
    <col min="10764" max="10764" width="15.42578125" style="553" hidden="1"/>
    <col min="10765" max="10765" width="22.140625" style="553" hidden="1"/>
    <col min="10766" max="10766" width="15.42578125" style="553" hidden="1"/>
    <col min="10767" max="10767" width="20.42578125" style="553" hidden="1"/>
    <col min="10768" max="10768" width="21.28515625" style="553" hidden="1"/>
    <col min="10769" max="10769" width="15.42578125" style="553" hidden="1"/>
    <col min="10770" max="10770" width="19.42578125" style="553" hidden="1"/>
    <col min="10771" max="10771" width="50.42578125" style="553" hidden="1"/>
    <col min="10772" max="10772" width="17.7109375" style="553" hidden="1"/>
    <col min="10773" max="10773" width="44.28515625" style="553" hidden="1"/>
    <col min="10774" max="10774" width="53.140625" style="553" hidden="1"/>
    <col min="10775" max="10775" width="36.140625" style="553" hidden="1"/>
    <col min="10776" max="10779" width="11.42578125" style="553" hidden="1"/>
    <col min="10780" max="11008" width="10.7109375" style="553" hidden="1"/>
    <col min="11009" max="11009" width="39.42578125" style="553" hidden="1"/>
    <col min="11010" max="11010" width="41.28515625" style="553" hidden="1"/>
    <col min="11011" max="11011" width="27.42578125" style="553" hidden="1"/>
    <col min="11012" max="11012" width="45.28515625" style="553" hidden="1"/>
    <col min="11013" max="11013" width="104.85546875" style="553" hidden="1"/>
    <col min="11014" max="11014" width="38.42578125" style="553" hidden="1"/>
    <col min="11015" max="11015" width="29.7109375" style="553" hidden="1"/>
    <col min="11016" max="11016" width="19" style="553" hidden="1"/>
    <col min="11017" max="11018" width="15.42578125" style="553" hidden="1"/>
    <col min="11019" max="11019" width="19.7109375" style="553" hidden="1"/>
    <col min="11020" max="11020" width="15.42578125" style="553" hidden="1"/>
    <col min="11021" max="11021" width="22.140625" style="553" hidden="1"/>
    <col min="11022" max="11022" width="15.42578125" style="553" hidden="1"/>
    <col min="11023" max="11023" width="20.42578125" style="553" hidden="1"/>
    <col min="11024" max="11024" width="21.28515625" style="553" hidden="1"/>
    <col min="11025" max="11025" width="15.42578125" style="553" hidden="1"/>
    <col min="11026" max="11026" width="19.42578125" style="553" hidden="1"/>
    <col min="11027" max="11027" width="50.42578125" style="553" hidden="1"/>
    <col min="11028" max="11028" width="17.7109375" style="553" hidden="1"/>
    <col min="11029" max="11029" width="44.28515625" style="553" hidden="1"/>
    <col min="11030" max="11030" width="53.140625" style="553" hidden="1"/>
    <col min="11031" max="11031" width="36.140625" style="553" hidden="1"/>
    <col min="11032" max="11035" width="11.42578125" style="553" hidden="1"/>
    <col min="11036" max="11264" width="10.7109375" style="553" hidden="1"/>
    <col min="11265" max="11265" width="39.42578125" style="553" hidden="1"/>
    <col min="11266" max="11266" width="41.28515625" style="553" hidden="1"/>
    <col min="11267" max="11267" width="27.42578125" style="553" hidden="1"/>
    <col min="11268" max="11268" width="45.28515625" style="553" hidden="1"/>
    <col min="11269" max="11269" width="104.85546875" style="553" hidden="1"/>
    <col min="11270" max="11270" width="38.42578125" style="553" hidden="1"/>
    <col min="11271" max="11271" width="29.7109375" style="553" hidden="1"/>
    <col min="11272" max="11272" width="19" style="553" hidden="1"/>
    <col min="11273" max="11274" width="15.42578125" style="553" hidden="1"/>
    <col min="11275" max="11275" width="19.7109375" style="553" hidden="1"/>
    <col min="11276" max="11276" width="15.42578125" style="553" hidden="1"/>
    <col min="11277" max="11277" width="22.140625" style="553" hidden="1"/>
    <col min="11278" max="11278" width="15.42578125" style="553" hidden="1"/>
    <col min="11279" max="11279" width="20.42578125" style="553" hidden="1"/>
    <col min="11280" max="11280" width="21.28515625" style="553" hidden="1"/>
    <col min="11281" max="11281" width="15.42578125" style="553" hidden="1"/>
    <col min="11282" max="11282" width="19.42578125" style="553" hidden="1"/>
    <col min="11283" max="11283" width="50.42578125" style="553" hidden="1"/>
    <col min="11284" max="11284" width="17.7109375" style="553" hidden="1"/>
    <col min="11285" max="11285" width="44.28515625" style="553" hidden="1"/>
    <col min="11286" max="11286" width="53.140625" style="553" hidden="1"/>
    <col min="11287" max="11287" width="36.140625" style="553" hidden="1"/>
    <col min="11288" max="11291" width="11.42578125" style="553" hidden="1"/>
    <col min="11292" max="11520" width="10.7109375" style="553" hidden="1"/>
    <col min="11521" max="11521" width="39.42578125" style="553" hidden="1"/>
    <col min="11522" max="11522" width="41.28515625" style="553" hidden="1"/>
    <col min="11523" max="11523" width="27.42578125" style="553" hidden="1"/>
    <col min="11524" max="11524" width="45.28515625" style="553" hidden="1"/>
    <col min="11525" max="11525" width="104.85546875" style="553" hidden="1"/>
    <col min="11526" max="11526" width="38.42578125" style="553" hidden="1"/>
    <col min="11527" max="11527" width="29.7109375" style="553" hidden="1"/>
    <col min="11528" max="11528" width="19" style="553" hidden="1"/>
    <col min="11529" max="11530" width="15.42578125" style="553" hidden="1"/>
    <col min="11531" max="11531" width="19.7109375" style="553" hidden="1"/>
    <col min="11532" max="11532" width="15.42578125" style="553" hidden="1"/>
    <col min="11533" max="11533" width="22.140625" style="553" hidden="1"/>
    <col min="11534" max="11534" width="15.42578125" style="553" hidden="1"/>
    <col min="11535" max="11535" width="20.42578125" style="553" hidden="1"/>
    <col min="11536" max="11536" width="21.28515625" style="553" hidden="1"/>
    <col min="11537" max="11537" width="15.42578125" style="553" hidden="1"/>
    <col min="11538" max="11538" width="19.42578125" style="553" hidden="1"/>
    <col min="11539" max="11539" width="50.42578125" style="553" hidden="1"/>
    <col min="11540" max="11540" width="17.7109375" style="553" hidden="1"/>
    <col min="11541" max="11541" width="44.28515625" style="553" hidden="1"/>
    <col min="11542" max="11542" width="53.140625" style="553" hidden="1"/>
    <col min="11543" max="11543" width="36.140625" style="553" hidden="1"/>
    <col min="11544" max="11547" width="11.42578125" style="553" hidden="1"/>
    <col min="11548" max="11776" width="10.7109375" style="553" hidden="1"/>
    <col min="11777" max="11777" width="39.42578125" style="553" hidden="1"/>
    <col min="11778" max="11778" width="41.28515625" style="553" hidden="1"/>
    <col min="11779" max="11779" width="27.42578125" style="553" hidden="1"/>
    <col min="11780" max="11780" width="45.28515625" style="553" hidden="1"/>
    <col min="11781" max="11781" width="104.85546875" style="553" hidden="1"/>
    <col min="11782" max="11782" width="38.42578125" style="553" hidden="1"/>
    <col min="11783" max="11783" width="29.7109375" style="553" hidden="1"/>
    <col min="11784" max="11784" width="19" style="553" hidden="1"/>
    <col min="11785" max="11786" width="15.42578125" style="553" hidden="1"/>
    <col min="11787" max="11787" width="19.7109375" style="553" hidden="1"/>
    <col min="11788" max="11788" width="15.42578125" style="553" hidden="1"/>
    <col min="11789" max="11789" width="22.140625" style="553" hidden="1"/>
    <col min="11790" max="11790" width="15.42578125" style="553" hidden="1"/>
    <col min="11791" max="11791" width="20.42578125" style="553" hidden="1"/>
    <col min="11792" max="11792" width="21.28515625" style="553" hidden="1"/>
    <col min="11793" max="11793" width="15.42578125" style="553" hidden="1"/>
    <col min="11794" max="11794" width="19.42578125" style="553" hidden="1"/>
    <col min="11795" max="11795" width="50.42578125" style="553" hidden="1"/>
    <col min="11796" max="11796" width="17.7109375" style="553" hidden="1"/>
    <col min="11797" max="11797" width="44.28515625" style="553" hidden="1"/>
    <col min="11798" max="11798" width="53.140625" style="553" hidden="1"/>
    <col min="11799" max="11799" width="36.140625" style="553" hidden="1"/>
    <col min="11800" max="11803" width="11.42578125" style="553" hidden="1"/>
    <col min="11804" max="12032" width="10.7109375" style="553" hidden="1"/>
    <col min="12033" max="12033" width="39.42578125" style="553" hidden="1"/>
    <col min="12034" max="12034" width="41.28515625" style="553" hidden="1"/>
    <col min="12035" max="12035" width="27.42578125" style="553" hidden="1"/>
    <col min="12036" max="12036" width="45.28515625" style="553" hidden="1"/>
    <col min="12037" max="12037" width="104.85546875" style="553" hidden="1"/>
    <col min="12038" max="12038" width="38.42578125" style="553" hidden="1"/>
    <col min="12039" max="12039" width="29.7109375" style="553" hidden="1"/>
    <col min="12040" max="12040" width="19" style="553" hidden="1"/>
    <col min="12041" max="12042" width="15.42578125" style="553" hidden="1"/>
    <col min="12043" max="12043" width="19.7109375" style="553" hidden="1"/>
    <col min="12044" max="12044" width="15.42578125" style="553" hidden="1"/>
    <col min="12045" max="12045" width="22.140625" style="553" hidden="1"/>
    <col min="12046" max="12046" width="15.42578125" style="553" hidden="1"/>
    <col min="12047" max="12047" width="20.42578125" style="553" hidden="1"/>
    <col min="12048" max="12048" width="21.28515625" style="553" hidden="1"/>
    <col min="12049" max="12049" width="15.42578125" style="553" hidden="1"/>
    <col min="12050" max="12050" width="19.42578125" style="553" hidden="1"/>
    <col min="12051" max="12051" width="50.42578125" style="553" hidden="1"/>
    <col min="12052" max="12052" width="17.7109375" style="553" hidden="1"/>
    <col min="12053" max="12053" width="44.28515625" style="553" hidden="1"/>
    <col min="12054" max="12054" width="53.140625" style="553" hidden="1"/>
    <col min="12055" max="12055" width="36.140625" style="553" hidden="1"/>
    <col min="12056" max="12059" width="11.42578125" style="553" hidden="1"/>
    <col min="12060" max="12288" width="10.7109375" style="553" hidden="1"/>
    <col min="12289" max="12289" width="39.42578125" style="553" hidden="1"/>
    <col min="12290" max="12290" width="41.28515625" style="553" hidden="1"/>
    <col min="12291" max="12291" width="27.42578125" style="553" hidden="1"/>
    <col min="12292" max="12292" width="45.28515625" style="553" hidden="1"/>
    <col min="12293" max="12293" width="104.85546875" style="553" hidden="1"/>
    <col min="12294" max="12294" width="38.42578125" style="553" hidden="1"/>
    <col min="12295" max="12295" width="29.7109375" style="553" hidden="1"/>
    <col min="12296" max="12296" width="19" style="553" hidden="1"/>
    <col min="12297" max="12298" width="15.42578125" style="553" hidden="1"/>
    <col min="12299" max="12299" width="19.7109375" style="553" hidden="1"/>
    <col min="12300" max="12300" width="15.42578125" style="553" hidden="1"/>
    <col min="12301" max="12301" width="22.140625" style="553" hidden="1"/>
    <col min="12302" max="12302" width="15.42578125" style="553" hidden="1"/>
    <col min="12303" max="12303" width="20.42578125" style="553" hidden="1"/>
    <col min="12304" max="12304" width="21.28515625" style="553" hidden="1"/>
    <col min="12305" max="12305" width="15.42578125" style="553" hidden="1"/>
    <col min="12306" max="12306" width="19.42578125" style="553" hidden="1"/>
    <col min="12307" max="12307" width="50.42578125" style="553" hidden="1"/>
    <col min="12308" max="12308" width="17.7109375" style="553" hidden="1"/>
    <col min="12309" max="12309" width="44.28515625" style="553" hidden="1"/>
    <col min="12310" max="12310" width="53.140625" style="553" hidden="1"/>
    <col min="12311" max="12311" width="36.140625" style="553" hidden="1"/>
    <col min="12312" max="12315" width="11.42578125" style="553" hidden="1"/>
    <col min="12316" max="12544" width="10.7109375" style="553" hidden="1"/>
    <col min="12545" max="12545" width="39.42578125" style="553" hidden="1"/>
    <col min="12546" max="12546" width="41.28515625" style="553" hidden="1"/>
    <col min="12547" max="12547" width="27.42578125" style="553" hidden="1"/>
    <col min="12548" max="12548" width="45.28515625" style="553" hidden="1"/>
    <col min="12549" max="12549" width="104.85546875" style="553" hidden="1"/>
    <col min="12550" max="12550" width="38.42578125" style="553" hidden="1"/>
    <col min="12551" max="12551" width="29.7109375" style="553" hidden="1"/>
    <col min="12552" max="12552" width="19" style="553" hidden="1"/>
    <col min="12553" max="12554" width="15.42578125" style="553" hidden="1"/>
    <col min="12555" max="12555" width="19.7109375" style="553" hidden="1"/>
    <col min="12556" max="12556" width="15.42578125" style="553" hidden="1"/>
    <col min="12557" max="12557" width="22.140625" style="553" hidden="1"/>
    <col min="12558" max="12558" width="15.42578125" style="553" hidden="1"/>
    <col min="12559" max="12559" width="20.42578125" style="553" hidden="1"/>
    <col min="12560" max="12560" width="21.28515625" style="553" hidden="1"/>
    <col min="12561" max="12561" width="15.42578125" style="553" hidden="1"/>
    <col min="12562" max="12562" width="19.42578125" style="553" hidden="1"/>
    <col min="12563" max="12563" width="50.42578125" style="553" hidden="1"/>
    <col min="12564" max="12564" width="17.7109375" style="553" hidden="1"/>
    <col min="12565" max="12565" width="44.28515625" style="553" hidden="1"/>
    <col min="12566" max="12566" width="53.140625" style="553" hidden="1"/>
    <col min="12567" max="12567" width="36.140625" style="553" hidden="1"/>
    <col min="12568" max="12571" width="11.42578125" style="553" hidden="1"/>
    <col min="12572" max="12800" width="10.7109375" style="553" hidden="1"/>
    <col min="12801" max="12801" width="39.42578125" style="553" hidden="1"/>
    <col min="12802" max="12802" width="41.28515625" style="553" hidden="1"/>
    <col min="12803" max="12803" width="27.42578125" style="553" hidden="1"/>
    <col min="12804" max="12804" width="45.28515625" style="553" hidden="1"/>
    <col min="12805" max="12805" width="104.85546875" style="553" hidden="1"/>
    <col min="12806" max="12806" width="38.42578125" style="553" hidden="1"/>
    <col min="12807" max="12807" width="29.7109375" style="553" hidden="1"/>
    <col min="12808" max="12808" width="19" style="553" hidden="1"/>
    <col min="12809" max="12810" width="15.42578125" style="553" hidden="1"/>
    <col min="12811" max="12811" width="19.7109375" style="553" hidden="1"/>
    <col min="12812" max="12812" width="15.42578125" style="553" hidden="1"/>
    <col min="12813" max="12813" width="22.140625" style="553" hidden="1"/>
    <col min="12814" max="12814" width="15.42578125" style="553" hidden="1"/>
    <col min="12815" max="12815" width="20.42578125" style="553" hidden="1"/>
    <col min="12816" max="12816" width="21.28515625" style="553" hidden="1"/>
    <col min="12817" max="12817" width="15.42578125" style="553" hidden="1"/>
    <col min="12818" max="12818" width="19.42578125" style="553" hidden="1"/>
    <col min="12819" max="12819" width="50.42578125" style="553" hidden="1"/>
    <col min="12820" max="12820" width="17.7109375" style="553" hidden="1"/>
    <col min="12821" max="12821" width="44.28515625" style="553" hidden="1"/>
    <col min="12822" max="12822" width="53.140625" style="553" hidden="1"/>
    <col min="12823" max="12823" width="36.140625" style="553" hidden="1"/>
    <col min="12824" max="12827" width="11.42578125" style="553" hidden="1"/>
    <col min="12828" max="13056" width="10.7109375" style="553" hidden="1"/>
    <col min="13057" max="13057" width="39.42578125" style="553" hidden="1"/>
    <col min="13058" max="13058" width="41.28515625" style="553" hidden="1"/>
    <col min="13059" max="13059" width="27.42578125" style="553" hidden="1"/>
    <col min="13060" max="13060" width="45.28515625" style="553" hidden="1"/>
    <col min="13061" max="13061" width="104.85546875" style="553" hidden="1"/>
    <col min="13062" max="13062" width="38.42578125" style="553" hidden="1"/>
    <col min="13063" max="13063" width="29.7109375" style="553" hidden="1"/>
    <col min="13064" max="13064" width="19" style="553" hidden="1"/>
    <col min="13065" max="13066" width="15.42578125" style="553" hidden="1"/>
    <col min="13067" max="13067" width="19.7109375" style="553" hidden="1"/>
    <col min="13068" max="13068" width="15.42578125" style="553" hidden="1"/>
    <col min="13069" max="13069" width="22.140625" style="553" hidden="1"/>
    <col min="13070" max="13070" width="15.42578125" style="553" hidden="1"/>
    <col min="13071" max="13071" width="20.42578125" style="553" hidden="1"/>
    <col min="13072" max="13072" width="21.28515625" style="553" hidden="1"/>
    <col min="13073" max="13073" width="15.42578125" style="553" hidden="1"/>
    <col min="13074" max="13074" width="19.42578125" style="553" hidden="1"/>
    <col min="13075" max="13075" width="50.42578125" style="553" hidden="1"/>
    <col min="13076" max="13076" width="17.7109375" style="553" hidden="1"/>
    <col min="13077" max="13077" width="44.28515625" style="553" hidden="1"/>
    <col min="13078" max="13078" width="53.140625" style="553" hidden="1"/>
    <col min="13079" max="13079" width="36.140625" style="553" hidden="1"/>
    <col min="13080" max="13083" width="11.42578125" style="553" hidden="1"/>
    <col min="13084" max="13312" width="10.7109375" style="553" hidden="1"/>
    <col min="13313" max="13313" width="39.42578125" style="553" hidden="1"/>
    <col min="13314" max="13314" width="41.28515625" style="553" hidden="1"/>
    <col min="13315" max="13315" width="27.42578125" style="553" hidden="1"/>
    <col min="13316" max="13316" width="45.28515625" style="553" hidden="1"/>
    <col min="13317" max="13317" width="104.85546875" style="553" hidden="1"/>
    <col min="13318" max="13318" width="38.42578125" style="553" hidden="1"/>
    <col min="13319" max="13319" width="29.7109375" style="553" hidden="1"/>
    <col min="13320" max="13320" width="19" style="553" hidden="1"/>
    <col min="13321" max="13322" width="15.42578125" style="553" hidden="1"/>
    <col min="13323" max="13323" width="19.7109375" style="553" hidden="1"/>
    <col min="13324" max="13324" width="15.42578125" style="553" hidden="1"/>
    <col min="13325" max="13325" width="22.140625" style="553" hidden="1"/>
    <col min="13326" max="13326" width="15.42578125" style="553" hidden="1"/>
    <col min="13327" max="13327" width="20.42578125" style="553" hidden="1"/>
    <col min="13328" max="13328" width="21.28515625" style="553" hidden="1"/>
    <col min="13329" max="13329" width="15.42578125" style="553" hidden="1"/>
    <col min="13330" max="13330" width="19.42578125" style="553" hidden="1"/>
    <col min="13331" max="13331" width="50.42578125" style="553" hidden="1"/>
    <col min="13332" max="13332" width="17.7109375" style="553" hidden="1"/>
    <col min="13333" max="13333" width="44.28515625" style="553" hidden="1"/>
    <col min="13334" max="13334" width="53.140625" style="553" hidden="1"/>
    <col min="13335" max="13335" width="36.140625" style="553" hidden="1"/>
    <col min="13336" max="13339" width="11.42578125" style="553" hidden="1"/>
    <col min="13340" max="13568" width="10.7109375" style="553" hidden="1"/>
    <col min="13569" max="13569" width="39.42578125" style="553" hidden="1"/>
    <col min="13570" max="13570" width="41.28515625" style="553" hidden="1"/>
    <col min="13571" max="13571" width="27.42578125" style="553" hidden="1"/>
    <col min="13572" max="13572" width="45.28515625" style="553" hidden="1"/>
    <col min="13573" max="13573" width="104.85546875" style="553" hidden="1"/>
    <col min="13574" max="13574" width="38.42578125" style="553" hidden="1"/>
    <col min="13575" max="13575" width="29.7109375" style="553" hidden="1"/>
    <col min="13576" max="13576" width="19" style="553" hidden="1"/>
    <col min="13577" max="13578" width="15.42578125" style="553" hidden="1"/>
    <col min="13579" max="13579" width="19.7109375" style="553" hidden="1"/>
    <col min="13580" max="13580" width="15.42578125" style="553" hidden="1"/>
    <col min="13581" max="13581" width="22.140625" style="553" hidden="1"/>
    <col min="13582" max="13582" width="15.42578125" style="553" hidden="1"/>
    <col min="13583" max="13583" width="20.42578125" style="553" hidden="1"/>
    <col min="13584" max="13584" width="21.28515625" style="553" hidden="1"/>
    <col min="13585" max="13585" width="15.42578125" style="553" hidden="1"/>
    <col min="13586" max="13586" width="19.42578125" style="553" hidden="1"/>
    <col min="13587" max="13587" width="50.42578125" style="553" hidden="1"/>
    <col min="13588" max="13588" width="17.7109375" style="553" hidden="1"/>
    <col min="13589" max="13589" width="44.28515625" style="553" hidden="1"/>
    <col min="13590" max="13590" width="53.140625" style="553" hidden="1"/>
    <col min="13591" max="13591" width="36.140625" style="553" hidden="1"/>
    <col min="13592" max="13595" width="11.42578125" style="553" hidden="1"/>
    <col min="13596" max="13824" width="10.7109375" style="553" hidden="1"/>
    <col min="13825" max="13825" width="39.42578125" style="553" hidden="1"/>
    <col min="13826" max="13826" width="41.28515625" style="553" hidden="1"/>
    <col min="13827" max="13827" width="27.42578125" style="553" hidden="1"/>
    <col min="13828" max="13828" width="45.28515625" style="553" hidden="1"/>
    <col min="13829" max="13829" width="104.85546875" style="553" hidden="1"/>
    <col min="13830" max="13830" width="38.42578125" style="553" hidden="1"/>
    <col min="13831" max="13831" width="29.7109375" style="553" hidden="1"/>
    <col min="13832" max="13832" width="19" style="553" hidden="1"/>
    <col min="13833" max="13834" width="15.42578125" style="553" hidden="1"/>
    <col min="13835" max="13835" width="19.7109375" style="553" hidden="1"/>
    <col min="13836" max="13836" width="15.42578125" style="553" hidden="1"/>
    <col min="13837" max="13837" width="22.140625" style="553" hidden="1"/>
    <col min="13838" max="13838" width="15.42578125" style="553" hidden="1"/>
    <col min="13839" max="13839" width="20.42578125" style="553" hidden="1"/>
    <col min="13840" max="13840" width="21.28515625" style="553" hidden="1"/>
    <col min="13841" max="13841" width="15.42578125" style="553" hidden="1"/>
    <col min="13842" max="13842" width="19.42578125" style="553" hidden="1"/>
    <col min="13843" max="13843" width="50.42578125" style="553" hidden="1"/>
    <col min="13844" max="13844" width="17.7109375" style="553" hidden="1"/>
    <col min="13845" max="13845" width="44.28515625" style="553" hidden="1"/>
    <col min="13846" max="13846" width="53.140625" style="553" hidden="1"/>
    <col min="13847" max="13847" width="36.140625" style="553" hidden="1"/>
    <col min="13848" max="13851" width="11.42578125" style="553" hidden="1"/>
    <col min="13852" max="14080" width="10.7109375" style="553" hidden="1"/>
    <col min="14081" max="14081" width="39.42578125" style="553" hidden="1"/>
    <col min="14082" max="14082" width="41.28515625" style="553" hidden="1"/>
    <col min="14083" max="14083" width="27.42578125" style="553" hidden="1"/>
    <col min="14084" max="14084" width="45.28515625" style="553" hidden="1"/>
    <col min="14085" max="14085" width="104.85546875" style="553" hidden="1"/>
    <col min="14086" max="14086" width="38.42578125" style="553" hidden="1"/>
    <col min="14087" max="14087" width="29.7109375" style="553" hidden="1"/>
    <col min="14088" max="14088" width="19" style="553" hidden="1"/>
    <col min="14089" max="14090" width="15.42578125" style="553" hidden="1"/>
    <col min="14091" max="14091" width="19.7109375" style="553" hidden="1"/>
    <col min="14092" max="14092" width="15.42578125" style="553" hidden="1"/>
    <col min="14093" max="14093" width="22.140625" style="553" hidden="1"/>
    <col min="14094" max="14094" width="15.42578125" style="553" hidden="1"/>
    <col min="14095" max="14095" width="20.42578125" style="553" hidden="1"/>
    <col min="14096" max="14096" width="21.28515625" style="553" hidden="1"/>
    <col min="14097" max="14097" width="15.42578125" style="553" hidden="1"/>
    <col min="14098" max="14098" width="19.42578125" style="553" hidden="1"/>
    <col min="14099" max="14099" width="50.42578125" style="553" hidden="1"/>
    <col min="14100" max="14100" width="17.7109375" style="553" hidden="1"/>
    <col min="14101" max="14101" width="44.28515625" style="553" hidden="1"/>
    <col min="14102" max="14102" width="53.140625" style="553" hidden="1"/>
    <col min="14103" max="14103" width="36.140625" style="553" hidden="1"/>
    <col min="14104" max="14107" width="11.42578125" style="553" hidden="1"/>
    <col min="14108" max="14336" width="10.7109375" style="553" hidden="1"/>
    <col min="14337" max="14337" width="39.42578125" style="553" hidden="1"/>
    <col min="14338" max="14338" width="41.28515625" style="553" hidden="1"/>
    <col min="14339" max="14339" width="27.42578125" style="553" hidden="1"/>
    <col min="14340" max="14340" width="45.28515625" style="553" hidden="1"/>
    <col min="14341" max="14341" width="104.85546875" style="553" hidden="1"/>
    <col min="14342" max="14342" width="38.42578125" style="553" hidden="1"/>
    <col min="14343" max="14343" width="29.7109375" style="553" hidden="1"/>
    <col min="14344" max="14344" width="19" style="553" hidden="1"/>
    <col min="14345" max="14346" width="15.42578125" style="553" hidden="1"/>
    <col min="14347" max="14347" width="19.7109375" style="553" hidden="1"/>
    <col min="14348" max="14348" width="15.42578125" style="553" hidden="1"/>
    <col min="14349" max="14349" width="22.140625" style="553" hidden="1"/>
    <col min="14350" max="14350" width="15.42578125" style="553" hidden="1"/>
    <col min="14351" max="14351" width="20.42578125" style="553" hidden="1"/>
    <col min="14352" max="14352" width="21.28515625" style="553" hidden="1"/>
    <col min="14353" max="14353" width="15.42578125" style="553" hidden="1"/>
    <col min="14354" max="14354" width="19.42578125" style="553" hidden="1"/>
    <col min="14355" max="14355" width="50.42578125" style="553" hidden="1"/>
    <col min="14356" max="14356" width="17.7109375" style="553" hidden="1"/>
    <col min="14357" max="14357" width="44.28515625" style="553" hidden="1"/>
    <col min="14358" max="14358" width="53.140625" style="553" hidden="1"/>
    <col min="14359" max="14359" width="36.140625" style="553" hidden="1"/>
    <col min="14360" max="14363" width="11.42578125" style="553" hidden="1"/>
    <col min="14364" max="14592" width="10.7109375" style="553" hidden="1"/>
    <col min="14593" max="14593" width="39.42578125" style="553" hidden="1"/>
    <col min="14594" max="14594" width="41.28515625" style="553" hidden="1"/>
    <col min="14595" max="14595" width="27.42578125" style="553" hidden="1"/>
    <col min="14596" max="14596" width="45.28515625" style="553" hidden="1"/>
    <col min="14597" max="14597" width="104.85546875" style="553" hidden="1"/>
    <col min="14598" max="14598" width="38.42578125" style="553" hidden="1"/>
    <col min="14599" max="14599" width="29.7109375" style="553" hidden="1"/>
    <col min="14600" max="14600" width="19" style="553" hidden="1"/>
    <col min="14601" max="14602" width="15.42578125" style="553" hidden="1"/>
    <col min="14603" max="14603" width="19.7109375" style="553" hidden="1"/>
    <col min="14604" max="14604" width="15.42578125" style="553" hidden="1"/>
    <col min="14605" max="14605" width="22.140625" style="553" hidden="1"/>
    <col min="14606" max="14606" width="15.42578125" style="553" hidden="1"/>
    <col min="14607" max="14607" width="20.42578125" style="553" hidden="1"/>
    <col min="14608" max="14608" width="21.28515625" style="553" hidden="1"/>
    <col min="14609" max="14609" width="15.42578125" style="553" hidden="1"/>
    <col min="14610" max="14610" width="19.42578125" style="553" hidden="1"/>
    <col min="14611" max="14611" width="50.42578125" style="553" hidden="1"/>
    <col min="14612" max="14612" width="17.7109375" style="553" hidden="1"/>
    <col min="14613" max="14613" width="44.28515625" style="553" hidden="1"/>
    <col min="14614" max="14614" width="53.140625" style="553" hidden="1"/>
    <col min="14615" max="14615" width="36.140625" style="553" hidden="1"/>
    <col min="14616" max="14619" width="11.42578125" style="553" hidden="1"/>
    <col min="14620" max="14848" width="10.7109375" style="553" hidden="1"/>
    <col min="14849" max="14849" width="39.42578125" style="553" hidden="1"/>
    <col min="14850" max="14850" width="41.28515625" style="553" hidden="1"/>
    <col min="14851" max="14851" width="27.42578125" style="553" hidden="1"/>
    <col min="14852" max="14852" width="45.28515625" style="553" hidden="1"/>
    <col min="14853" max="14853" width="104.85546875" style="553" hidden="1"/>
    <col min="14854" max="14854" width="38.42578125" style="553" hidden="1"/>
    <col min="14855" max="14855" width="29.7109375" style="553" hidden="1"/>
    <col min="14856" max="14856" width="19" style="553" hidden="1"/>
    <col min="14857" max="14858" width="15.42578125" style="553" hidden="1"/>
    <col min="14859" max="14859" width="19.7109375" style="553" hidden="1"/>
    <col min="14860" max="14860" width="15.42578125" style="553" hidden="1"/>
    <col min="14861" max="14861" width="22.140625" style="553" hidden="1"/>
    <col min="14862" max="14862" width="15.42578125" style="553" hidden="1"/>
    <col min="14863" max="14863" width="20.42578125" style="553" hidden="1"/>
    <col min="14864" max="14864" width="21.28515625" style="553" hidden="1"/>
    <col min="14865" max="14865" width="15.42578125" style="553" hidden="1"/>
    <col min="14866" max="14866" width="19.42578125" style="553" hidden="1"/>
    <col min="14867" max="14867" width="50.42578125" style="553" hidden="1"/>
    <col min="14868" max="14868" width="17.7109375" style="553" hidden="1"/>
    <col min="14869" max="14869" width="44.28515625" style="553" hidden="1"/>
    <col min="14870" max="14870" width="53.140625" style="553" hidden="1"/>
    <col min="14871" max="14871" width="36.140625" style="553" hidden="1"/>
    <col min="14872" max="14875" width="11.42578125" style="553" hidden="1"/>
    <col min="14876" max="15104" width="10.7109375" style="553" hidden="1"/>
    <col min="15105" max="15105" width="39.42578125" style="553" hidden="1"/>
    <col min="15106" max="15106" width="41.28515625" style="553" hidden="1"/>
    <col min="15107" max="15107" width="27.42578125" style="553" hidden="1"/>
    <col min="15108" max="15108" width="45.28515625" style="553" hidden="1"/>
    <col min="15109" max="15109" width="104.85546875" style="553" hidden="1"/>
    <col min="15110" max="15110" width="38.42578125" style="553" hidden="1"/>
    <col min="15111" max="15111" width="29.7109375" style="553" hidden="1"/>
    <col min="15112" max="15112" width="19" style="553" hidden="1"/>
    <col min="15113" max="15114" width="15.42578125" style="553" hidden="1"/>
    <col min="15115" max="15115" width="19.7109375" style="553" hidden="1"/>
    <col min="15116" max="15116" width="15.42578125" style="553" hidden="1"/>
    <col min="15117" max="15117" width="22.140625" style="553" hidden="1"/>
    <col min="15118" max="15118" width="15.42578125" style="553" hidden="1"/>
    <col min="15119" max="15119" width="20.42578125" style="553" hidden="1"/>
    <col min="15120" max="15120" width="21.28515625" style="553" hidden="1"/>
    <col min="15121" max="15121" width="15.42578125" style="553" hidden="1"/>
    <col min="15122" max="15122" width="19.42578125" style="553" hidden="1"/>
    <col min="15123" max="15123" width="50.42578125" style="553" hidden="1"/>
    <col min="15124" max="15124" width="17.7109375" style="553" hidden="1"/>
    <col min="15125" max="15125" width="44.28515625" style="553" hidden="1"/>
    <col min="15126" max="15126" width="53.140625" style="553" hidden="1"/>
    <col min="15127" max="15127" width="36.140625" style="553" hidden="1"/>
    <col min="15128" max="15131" width="11.42578125" style="553" hidden="1"/>
    <col min="15132" max="15360" width="10.7109375" style="553" hidden="1"/>
    <col min="15361" max="15361" width="39.42578125" style="553" hidden="1"/>
    <col min="15362" max="15362" width="41.28515625" style="553" hidden="1"/>
    <col min="15363" max="15363" width="27.42578125" style="553" hidden="1"/>
    <col min="15364" max="15364" width="45.28515625" style="553" hidden="1"/>
    <col min="15365" max="15365" width="104.85546875" style="553" hidden="1"/>
    <col min="15366" max="15366" width="38.42578125" style="553" hidden="1"/>
    <col min="15367" max="15367" width="29.7109375" style="553" hidden="1"/>
    <col min="15368" max="15368" width="19" style="553" hidden="1"/>
    <col min="15369" max="15370" width="15.42578125" style="553" hidden="1"/>
    <col min="15371" max="15371" width="19.7109375" style="553" hidden="1"/>
    <col min="15372" max="15372" width="15.42578125" style="553" hidden="1"/>
    <col min="15373" max="15373" width="22.140625" style="553" hidden="1"/>
    <col min="15374" max="15374" width="15.42578125" style="553" hidden="1"/>
    <col min="15375" max="15375" width="20.42578125" style="553" hidden="1"/>
    <col min="15376" max="15376" width="21.28515625" style="553" hidden="1"/>
    <col min="15377" max="15377" width="15.42578125" style="553" hidden="1"/>
    <col min="15378" max="15378" width="19.42578125" style="553" hidden="1"/>
    <col min="15379" max="15379" width="50.42578125" style="553" hidden="1"/>
    <col min="15380" max="15380" width="17.7109375" style="553" hidden="1"/>
    <col min="15381" max="15381" width="44.28515625" style="553" hidden="1"/>
    <col min="15382" max="15382" width="53.140625" style="553" hidden="1"/>
    <col min="15383" max="15383" width="36.140625" style="553" hidden="1"/>
    <col min="15384" max="15387" width="11.42578125" style="553" hidden="1"/>
    <col min="15388" max="15616" width="10.7109375" style="553" hidden="1"/>
    <col min="15617" max="15617" width="39.42578125" style="553" hidden="1"/>
    <col min="15618" max="15618" width="41.28515625" style="553" hidden="1"/>
    <col min="15619" max="15619" width="27.42578125" style="553" hidden="1"/>
    <col min="15620" max="15620" width="45.28515625" style="553" hidden="1"/>
    <col min="15621" max="15621" width="104.85546875" style="553" hidden="1"/>
    <col min="15622" max="15622" width="38.42578125" style="553" hidden="1"/>
    <col min="15623" max="15623" width="29.7109375" style="553" hidden="1"/>
    <col min="15624" max="15624" width="19" style="553" hidden="1"/>
    <col min="15625" max="15626" width="15.42578125" style="553" hidden="1"/>
    <col min="15627" max="15627" width="19.7109375" style="553" hidden="1"/>
    <col min="15628" max="15628" width="15.42578125" style="553" hidden="1"/>
    <col min="15629" max="15629" width="22.140625" style="553" hidden="1"/>
    <col min="15630" max="15630" width="15.42578125" style="553" hidden="1"/>
    <col min="15631" max="15631" width="20.42578125" style="553" hidden="1"/>
    <col min="15632" max="15632" width="21.28515625" style="553" hidden="1"/>
    <col min="15633" max="15633" width="15.42578125" style="553" hidden="1"/>
    <col min="15634" max="15634" width="19.42578125" style="553" hidden="1"/>
    <col min="15635" max="15635" width="50.42578125" style="553" hidden="1"/>
    <col min="15636" max="15636" width="17.7109375" style="553" hidden="1"/>
    <col min="15637" max="15637" width="44.28515625" style="553" hidden="1"/>
    <col min="15638" max="15638" width="53.140625" style="553" hidden="1"/>
    <col min="15639" max="15639" width="36.140625" style="553" hidden="1"/>
    <col min="15640" max="15643" width="11.42578125" style="553" hidden="1"/>
    <col min="15644" max="15872" width="10.7109375" style="553" hidden="1"/>
    <col min="15873" max="15873" width="39.42578125" style="553" hidden="1"/>
    <col min="15874" max="15874" width="41.28515625" style="553" hidden="1"/>
    <col min="15875" max="15875" width="27.42578125" style="553" hidden="1"/>
    <col min="15876" max="15876" width="45.28515625" style="553" hidden="1"/>
    <col min="15877" max="15877" width="104.85546875" style="553" hidden="1"/>
    <col min="15878" max="15878" width="38.42578125" style="553" hidden="1"/>
    <col min="15879" max="15879" width="29.7109375" style="553" hidden="1"/>
    <col min="15880" max="15880" width="19" style="553" hidden="1"/>
    <col min="15881" max="15882" width="15.42578125" style="553" hidden="1"/>
    <col min="15883" max="15883" width="19.7109375" style="553" hidden="1"/>
    <col min="15884" max="15884" width="15.42578125" style="553" hidden="1"/>
    <col min="15885" max="15885" width="22.140625" style="553" hidden="1"/>
    <col min="15886" max="15886" width="15.42578125" style="553" hidden="1"/>
    <col min="15887" max="15887" width="20.42578125" style="553" hidden="1"/>
    <col min="15888" max="15888" width="21.28515625" style="553" hidden="1"/>
    <col min="15889" max="15889" width="15.42578125" style="553" hidden="1"/>
    <col min="15890" max="15890" width="19.42578125" style="553" hidden="1"/>
    <col min="15891" max="15891" width="50.42578125" style="553" hidden="1"/>
    <col min="15892" max="15892" width="17.7109375" style="553" hidden="1"/>
    <col min="15893" max="15893" width="44.28515625" style="553" hidden="1"/>
    <col min="15894" max="15894" width="53.140625" style="553" hidden="1"/>
    <col min="15895" max="15895" width="36.140625" style="553" hidden="1"/>
    <col min="15896" max="15899" width="11.42578125" style="553" hidden="1"/>
    <col min="15900" max="16128" width="10.7109375" style="553" hidden="1"/>
    <col min="16129" max="16129" width="39.42578125" style="553" hidden="1"/>
    <col min="16130" max="16130" width="41.28515625" style="553" hidden="1"/>
    <col min="16131" max="16131" width="27.42578125" style="553" hidden="1"/>
    <col min="16132" max="16132" width="45.28515625" style="553" hidden="1"/>
    <col min="16133" max="16133" width="104.85546875" style="553" hidden="1"/>
    <col min="16134" max="16134" width="38.42578125" style="553" hidden="1"/>
    <col min="16135" max="16135" width="29.7109375" style="553" hidden="1"/>
    <col min="16136" max="16136" width="19" style="553" hidden="1"/>
    <col min="16137" max="16138" width="15.42578125" style="553" hidden="1"/>
    <col min="16139" max="16139" width="19.7109375" style="553" hidden="1"/>
    <col min="16140" max="16140" width="15.42578125" style="553" hidden="1"/>
    <col min="16141" max="16141" width="22.140625" style="553" hidden="1"/>
    <col min="16142" max="16142" width="15.42578125" style="553" hidden="1"/>
    <col min="16143" max="16143" width="20.42578125" style="553" hidden="1"/>
    <col min="16144" max="16144" width="21.28515625" style="553" hidden="1"/>
    <col min="16145" max="16145" width="15.42578125" style="553" hidden="1"/>
    <col min="16146" max="16146" width="19.42578125" style="553" hidden="1"/>
    <col min="16147" max="16147" width="50.42578125" style="553" hidden="1"/>
    <col min="16148" max="16148" width="17.7109375" style="553" hidden="1"/>
    <col min="16149" max="16149" width="44.28515625" style="553" hidden="1"/>
    <col min="16150" max="16150" width="53.140625" style="553" hidden="1"/>
    <col min="16151" max="16151" width="36.140625" style="553" hidden="1"/>
    <col min="16152" max="16155" width="11.42578125" style="553" hidden="1"/>
    <col min="16156" max="16384" width="10.7109375" style="553" hidden="1"/>
  </cols>
  <sheetData>
    <row r="1" spans="1:35" ht="104.1" customHeight="1" x14ac:dyDescent="0.4">
      <c r="A1" s="603"/>
      <c r="B1" s="604" t="s">
        <v>18</v>
      </c>
      <c r="C1" s="605" t="s">
        <v>19</v>
      </c>
      <c r="I1" s="606"/>
      <c r="K1" s="555"/>
      <c r="L1" s="555"/>
      <c r="M1" s="555"/>
      <c r="N1" s="555"/>
      <c r="O1" s="555"/>
      <c r="P1" s="555"/>
      <c r="Q1" s="555"/>
      <c r="R1" s="556"/>
      <c r="S1" s="555"/>
      <c r="T1" s="556"/>
      <c r="U1" s="555"/>
      <c r="V1" s="555"/>
      <c r="X1" s="670" t="s">
        <v>20</v>
      </c>
      <c r="Y1" s="670"/>
      <c r="Z1" s="670"/>
      <c r="AA1" s="671"/>
      <c r="AB1" s="672" t="s">
        <v>21</v>
      </c>
      <c r="AC1" s="672"/>
      <c r="AD1" s="672"/>
      <c r="AE1" s="672"/>
      <c r="AF1" s="672"/>
      <c r="AG1" s="672"/>
      <c r="AH1" s="672"/>
      <c r="AI1" s="672"/>
    </row>
    <row r="2" spans="1:35" ht="104.1" customHeight="1" x14ac:dyDescent="0.2">
      <c r="A2" s="557" t="s">
        <v>22</v>
      </c>
      <c r="B2" s="3" t="s">
        <v>23</v>
      </c>
      <c r="C2" s="558" t="s">
        <v>25</v>
      </c>
      <c r="D2" s="3" t="s">
        <v>26</v>
      </c>
      <c r="E2" s="314" t="s">
        <v>27</v>
      </c>
      <c r="F2" s="3" t="s">
        <v>28</v>
      </c>
      <c r="G2" s="3" t="s">
        <v>29</v>
      </c>
      <c r="H2" s="3" t="s">
        <v>30</v>
      </c>
      <c r="I2" s="3" t="s">
        <v>31</v>
      </c>
      <c r="J2" s="611" t="s">
        <v>32</v>
      </c>
      <c r="K2" s="3" t="s">
        <v>33</v>
      </c>
      <c r="L2" s="4" t="s">
        <v>717</v>
      </c>
      <c r="M2" s="4" t="s">
        <v>486</v>
      </c>
      <c r="N2" s="3" t="s">
        <v>40</v>
      </c>
      <c r="O2" s="12" t="s">
        <v>41</v>
      </c>
      <c r="P2" s="3" t="s">
        <v>42</v>
      </c>
      <c r="Q2" s="3" t="s">
        <v>43</v>
      </c>
      <c r="R2" s="12" t="s">
        <v>44</v>
      </c>
      <c r="S2" s="3" t="s">
        <v>45</v>
      </c>
      <c r="T2" s="3" t="s">
        <v>46</v>
      </c>
      <c r="U2" s="3" t="s">
        <v>487</v>
      </c>
      <c r="V2" s="3" t="s">
        <v>47</v>
      </c>
      <c r="W2" s="3" t="s">
        <v>488</v>
      </c>
      <c r="X2" s="667" t="s">
        <v>49</v>
      </c>
      <c r="Y2" s="667" t="s">
        <v>50</v>
      </c>
      <c r="Z2" s="667" t="s">
        <v>51</v>
      </c>
      <c r="AA2" s="669" t="s">
        <v>52</v>
      </c>
      <c r="AB2" s="679" t="s">
        <v>53</v>
      </c>
      <c r="AC2" s="679" t="s">
        <v>54</v>
      </c>
      <c r="AD2" s="679" t="s">
        <v>55</v>
      </c>
      <c r="AE2" s="679" t="s">
        <v>56</v>
      </c>
      <c r="AF2" s="679" t="s">
        <v>57</v>
      </c>
      <c r="AG2" s="679" t="s">
        <v>54</v>
      </c>
      <c r="AH2" s="679" t="s">
        <v>55</v>
      </c>
      <c r="AI2" s="679" t="s">
        <v>56</v>
      </c>
    </row>
    <row r="3" spans="1:35" ht="24.95" customHeight="1" x14ac:dyDescent="0.2">
      <c r="A3" s="559"/>
      <c r="B3" s="560" t="s">
        <v>471</v>
      </c>
      <c r="C3" s="561" t="s">
        <v>473</v>
      </c>
      <c r="D3" s="548" t="s">
        <v>474</v>
      </c>
      <c r="E3" s="548" t="s">
        <v>718</v>
      </c>
      <c r="F3" s="549" t="s">
        <v>491</v>
      </c>
      <c r="G3" s="549" t="s">
        <v>491</v>
      </c>
      <c r="H3" s="560">
        <v>12</v>
      </c>
      <c r="I3" s="549"/>
      <c r="J3" s="612" t="s">
        <v>492</v>
      </c>
      <c r="K3" s="548" t="s">
        <v>3</v>
      </c>
      <c r="L3" s="562">
        <v>6213858439</v>
      </c>
      <c r="M3" s="550"/>
      <c r="N3" s="551"/>
      <c r="O3" s="552">
        <v>0</v>
      </c>
      <c r="P3" s="551" t="s">
        <v>67</v>
      </c>
      <c r="Q3" s="551"/>
      <c r="R3" s="561" t="s">
        <v>476</v>
      </c>
      <c r="S3" s="560">
        <v>3422121</v>
      </c>
      <c r="T3" s="561" t="s">
        <v>494</v>
      </c>
      <c r="U3" s="548" t="s">
        <v>67</v>
      </c>
      <c r="V3" s="548"/>
      <c r="W3" s="548" t="s">
        <v>719</v>
      </c>
      <c r="X3" s="575"/>
      <c r="Y3" s="575"/>
      <c r="Z3" s="575"/>
      <c r="AA3" s="575"/>
      <c r="AB3" s="575"/>
      <c r="AC3" s="575"/>
      <c r="AD3" s="575"/>
      <c r="AE3" s="575"/>
      <c r="AF3" s="575"/>
      <c r="AG3" s="575"/>
      <c r="AH3" s="575"/>
      <c r="AI3" s="575"/>
    </row>
    <row r="4" spans="1:35" ht="24.95" customHeight="1" x14ac:dyDescent="0.2">
      <c r="A4" s="559"/>
      <c r="B4" s="560" t="s">
        <v>471</v>
      </c>
      <c r="C4" s="561" t="s">
        <v>473</v>
      </c>
      <c r="D4" s="548" t="s">
        <v>474</v>
      </c>
      <c r="E4" s="548" t="s">
        <v>720</v>
      </c>
      <c r="F4" s="549" t="s">
        <v>491</v>
      </c>
      <c r="G4" s="549" t="s">
        <v>491</v>
      </c>
      <c r="H4" s="560">
        <v>12</v>
      </c>
      <c r="I4" s="549"/>
      <c r="J4" s="612" t="s">
        <v>492</v>
      </c>
      <c r="K4" s="548" t="s">
        <v>3</v>
      </c>
      <c r="L4" s="562">
        <v>8240000</v>
      </c>
      <c r="M4" s="550"/>
      <c r="N4" s="551"/>
      <c r="O4" s="552">
        <v>0</v>
      </c>
      <c r="P4" s="551" t="s">
        <v>67</v>
      </c>
      <c r="Q4" s="551"/>
      <c r="R4" s="561" t="s">
        <v>476</v>
      </c>
      <c r="S4" s="560">
        <v>3422121</v>
      </c>
      <c r="T4" s="561" t="s">
        <v>494</v>
      </c>
      <c r="U4" s="548" t="s">
        <v>67</v>
      </c>
      <c r="V4" s="548"/>
      <c r="W4" s="548" t="s">
        <v>721</v>
      </c>
      <c r="X4" s="575"/>
      <c r="Y4" s="575"/>
      <c r="Z4" s="575"/>
      <c r="AA4" s="575"/>
      <c r="AB4" s="575"/>
      <c r="AC4" s="575"/>
      <c r="AD4" s="575"/>
      <c r="AE4" s="575"/>
      <c r="AF4" s="575"/>
      <c r="AG4" s="575"/>
      <c r="AH4" s="575"/>
      <c r="AI4" s="575"/>
    </row>
    <row r="5" spans="1:35" ht="24.95" customHeight="1" x14ac:dyDescent="0.2">
      <c r="A5" s="563"/>
      <c r="B5" s="564" t="s">
        <v>471</v>
      </c>
      <c r="C5" s="564" t="s">
        <v>281</v>
      </c>
      <c r="D5" s="564" t="s">
        <v>619</v>
      </c>
      <c r="E5" s="564" t="s">
        <v>697</v>
      </c>
      <c r="F5" s="571" t="s">
        <v>567</v>
      </c>
      <c r="G5" s="571" t="s">
        <v>567</v>
      </c>
      <c r="H5" s="566">
        <v>1</v>
      </c>
      <c r="I5" s="566"/>
      <c r="J5" s="563" t="s">
        <v>154</v>
      </c>
      <c r="K5" s="564" t="s">
        <v>3</v>
      </c>
      <c r="L5" s="567">
        <v>1500000</v>
      </c>
      <c r="M5" s="568">
        <v>0</v>
      </c>
      <c r="N5" s="564" t="s">
        <v>66</v>
      </c>
      <c r="O5" s="569">
        <v>0</v>
      </c>
      <c r="P5" s="570" t="s">
        <v>67</v>
      </c>
      <c r="Q5" s="570" t="s">
        <v>68</v>
      </c>
      <c r="R5" s="563" t="s">
        <v>612</v>
      </c>
      <c r="S5" s="563">
        <v>3422121</v>
      </c>
      <c r="T5" s="563" t="s">
        <v>613</v>
      </c>
      <c r="U5" s="570" t="s">
        <v>67</v>
      </c>
      <c r="V5" s="570"/>
      <c r="W5" s="563" t="s">
        <v>696</v>
      </c>
      <c r="X5" s="575"/>
      <c r="Y5" s="575"/>
      <c r="Z5" s="575"/>
      <c r="AA5" s="575"/>
      <c r="AB5" s="575"/>
      <c r="AC5" s="575"/>
      <c r="AD5" s="575"/>
      <c r="AE5" s="575"/>
      <c r="AF5" s="575"/>
      <c r="AG5" s="575"/>
      <c r="AH5" s="575"/>
      <c r="AI5" s="575"/>
    </row>
    <row r="6" spans="1:35" ht="24.95" customHeight="1" x14ac:dyDescent="0.2">
      <c r="A6" s="563"/>
      <c r="B6" s="564" t="s">
        <v>471</v>
      </c>
      <c r="C6" s="564" t="s">
        <v>281</v>
      </c>
      <c r="D6" s="564" t="s">
        <v>609</v>
      </c>
      <c r="E6" s="564" t="s">
        <v>722</v>
      </c>
      <c r="F6" s="571" t="s">
        <v>590</v>
      </c>
      <c r="G6" s="571" t="s">
        <v>590</v>
      </c>
      <c r="H6" s="566" t="s">
        <v>699</v>
      </c>
      <c r="I6" s="566" t="s">
        <v>699</v>
      </c>
      <c r="J6" s="563"/>
      <c r="K6" s="572" t="s">
        <v>3</v>
      </c>
      <c r="L6" s="567">
        <v>3853040</v>
      </c>
      <c r="M6" s="568">
        <v>0</v>
      </c>
      <c r="N6" s="564" t="s">
        <v>66</v>
      </c>
      <c r="O6" s="569">
        <v>0</v>
      </c>
      <c r="P6" s="570" t="s">
        <v>67</v>
      </c>
      <c r="Q6" s="570" t="s">
        <v>68</v>
      </c>
      <c r="R6" s="563" t="s">
        <v>612</v>
      </c>
      <c r="S6" s="563">
        <v>3422121</v>
      </c>
      <c r="T6" s="563" t="s">
        <v>613</v>
      </c>
      <c r="U6" s="570" t="s">
        <v>67</v>
      </c>
      <c r="V6" s="570"/>
      <c r="W6" s="563" t="s">
        <v>696</v>
      </c>
      <c r="X6" s="575"/>
      <c r="Y6" s="575"/>
      <c r="Z6" s="575"/>
      <c r="AA6" s="575"/>
      <c r="AB6" s="575"/>
      <c r="AC6" s="575"/>
      <c r="AD6" s="575"/>
      <c r="AE6" s="575"/>
      <c r="AF6" s="575"/>
      <c r="AG6" s="575"/>
      <c r="AH6" s="575"/>
      <c r="AI6" s="575"/>
    </row>
    <row r="7" spans="1:35" ht="24.95" customHeight="1" x14ac:dyDescent="0.2">
      <c r="A7" s="563"/>
      <c r="B7" s="563" t="s">
        <v>471</v>
      </c>
      <c r="C7" s="563" t="s">
        <v>554</v>
      </c>
      <c r="D7" s="563" t="s">
        <v>554</v>
      </c>
      <c r="E7" s="564" t="s">
        <v>703</v>
      </c>
      <c r="F7" s="571" t="s">
        <v>491</v>
      </c>
      <c r="G7" s="571" t="s">
        <v>491</v>
      </c>
      <c r="H7" s="563">
        <v>6</v>
      </c>
      <c r="I7" s="563"/>
      <c r="J7" s="563"/>
      <c r="K7" s="564" t="s">
        <v>3</v>
      </c>
      <c r="L7" s="567">
        <v>29446340</v>
      </c>
      <c r="M7" s="565"/>
      <c r="N7" s="563"/>
      <c r="O7" s="569">
        <v>0</v>
      </c>
      <c r="P7" s="570" t="s">
        <v>67</v>
      </c>
      <c r="Q7" s="570" t="s">
        <v>68</v>
      </c>
      <c r="R7" s="563" t="s">
        <v>612</v>
      </c>
      <c r="S7" s="563">
        <v>3422121</v>
      </c>
      <c r="T7" s="563" t="s">
        <v>613</v>
      </c>
      <c r="U7" s="563" t="s">
        <v>723</v>
      </c>
      <c r="V7" s="563"/>
      <c r="W7" s="563" t="s">
        <v>702</v>
      </c>
      <c r="X7" s="575"/>
      <c r="Y7" s="575"/>
      <c r="Z7" s="575"/>
      <c r="AA7" s="575"/>
      <c r="AB7" s="575"/>
      <c r="AC7" s="575"/>
      <c r="AD7" s="575"/>
      <c r="AE7" s="575"/>
      <c r="AF7" s="575"/>
      <c r="AG7" s="575"/>
      <c r="AH7" s="575"/>
      <c r="AI7" s="575"/>
    </row>
    <row r="8" spans="1:35" ht="24.95" customHeight="1" x14ac:dyDescent="0.2">
      <c r="A8" s="573"/>
      <c r="B8" s="563" t="s">
        <v>471</v>
      </c>
      <c r="C8" s="563" t="s">
        <v>554</v>
      </c>
      <c r="D8" s="564" t="s">
        <v>554</v>
      </c>
      <c r="E8" s="564" t="s">
        <v>705</v>
      </c>
      <c r="F8" s="571" t="s">
        <v>491</v>
      </c>
      <c r="G8" s="571" t="s">
        <v>491</v>
      </c>
      <c r="H8" s="573">
        <v>10</v>
      </c>
      <c r="I8" s="573"/>
      <c r="J8" s="573"/>
      <c r="K8" s="574" t="s">
        <v>3</v>
      </c>
      <c r="L8" s="567">
        <v>37208527</v>
      </c>
      <c r="M8" s="575"/>
      <c r="N8" s="573"/>
      <c r="O8" s="569">
        <v>0</v>
      </c>
      <c r="P8" s="570" t="s">
        <v>67</v>
      </c>
      <c r="Q8" s="570" t="s">
        <v>68</v>
      </c>
      <c r="R8" s="563" t="s">
        <v>556</v>
      </c>
      <c r="S8" s="563">
        <v>3422121</v>
      </c>
      <c r="T8" s="563" t="s">
        <v>557</v>
      </c>
      <c r="U8" s="573" t="s">
        <v>707</v>
      </c>
      <c r="V8" s="573"/>
      <c r="W8" s="563" t="s">
        <v>705</v>
      </c>
      <c r="X8" s="575"/>
      <c r="Y8" s="575"/>
      <c r="Z8" s="575"/>
      <c r="AA8" s="575"/>
      <c r="AB8" s="575"/>
      <c r="AC8" s="575"/>
      <c r="AD8" s="575"/>
      <c r="AE8" s="575"/>
      <c r="AF8" s="575"/>
      <c r="AG8" s="575"/>
      <c r="AH8" s="575"/>
      <c r="AI8" s="575"/>
    </row>
    <row r="9" spans="1:35" ht="24.95" customHeight="1" x14ac:dyDescent="0.2">
      <c r="A9" s="573"/>
      <c r="B9" s="573" t="s">
        <v>270</v>
      </c>
      <c r="C9" s="563" t="s">
        <v>281</v>
      </c>
      <c r="D9" s="564" t="s">
        <v>609</v>
      </c>
      <c r="E9" s="564" t="s">
        <v>708</v>
      </c>
      <c r="F9" s="571" t="s">
        <v>491</v>
      </c>
      <c r="G9" s="571" t="s">
        <v>491</v>
      </c>
      <c r="H9" s="573">
        <v>11</v>
      </c>
      <c r="I9" s="573"/>
      <c r="J9" s="563" t="s">
        <v>83</v>
      </c>
      <c r="K9" s="574" t="s">
        <v>3</v>
      </c>
      <c r="L9" s="567">
        <v>1000000</v>
      </c>
      <c r="M9" s="575"/>
      <c r="N9" s="573"/>
      <c r="O9" s="569">
        <v>0</v>
      </c>
      <c r="P9" s="570" t="s">
        <v>67</v>
      </c>
      <c r="Q9" s="570" t="s">
        <v>68</v>
      </c>
      <c r="R9" s="563" t="s">
        <v>556</v>
      </c>
      <c r="S9" s="563">
        <v>3422121</v>
      </c>
      <c r="T9" s="563" t="s">
        <v>557</v>
      </c>
      <c r="U9" s="573" t="s">
        <v>67</v>
      </c>
      <c r="V9" s="573"/>
      <c r="W9" s="563" t="s">
        <v>696</v>
      </c>
      <c r="X9" s="575"/>
      <c r="Y9" s="575"/>
      <c r="Z9" s="575"/>
      <c r="AA9" s="575"/>
      <c r="AB9" s="575"/>
      <c r="AC9" s="575"/>
      <c r="AD9" s="575"/>
      <c r="AE9" s="575"/>
      <c r="AF9" s="575"/>
      <c r="AG9" s="575"/>
      <c r="AH9" s="575"/>
      <c r="AI9" s="575"/>
    </row>
    <row r="10" spans="1:35" ht="24.95" customHeight="1" x14ac:dyDescent="0.2">
      <c r="A10" s="573"/>
      <c r="B10" s="573" t="s">
        <v>270</v>
      </c>
      <c r="C10" s="573" t="s">
        <v>203</v>
      </c>
      <c r="D10" s="573" t="s">
        <v>724</v>
      </c>
      <c r="E10" s="564" t="s">
        <v>709</v>
      </c>
      <c r="F10" s="608"/>
      <c r="G10" s="608"/>
      <c r="H10" s="573"/>
      <c r="I10" s="573"/>
      <c r="J10" s="573" t="s">
        <v>675</v>
      </c>
      <c r="K10" s="574" t="s">
        <v>3</v>
      </c>
      <c r="L10" s="567">
        <v>94172868</v>
      </c>
      <c r="M10" s="575"/>
      <c r="N10" s="573"/>
      <c r="O10" s="569">
        <v>0</v>
      </c>
      <c r="P10" s="570" t="s">
        <v>67</v>
      </c>
      <c r="Q10" s="570" t="s">
        <v>68</v>
      </c>
      <c r="R10" s="563" t="s">
        <v>556</v>
      </c>
      <c r="S10" s="563">
        <v>3422121</v>
      </c>
      <c r="T10" s="563" t="s">
        <v>557</v>
      </c>
      <c r="U10" s="573" t="s">
        <v>67</v>
      </c>
      <c r="V10" s="573"/>
      <c r="W10" s="573" t="s">
        <v>721</v>
      </c>
      <c r="X10" s="575"/>
      <c r="Y10" s="575"/>
      <c r="Z10" s="575"/>
      <c r="AA10" s="575"/>
      <c r="AB10" s="575"/>
      <c r="AC10" s="575"/>
      <c r="AD10" s="575"/>
      <c r="AE10" s="575"/>
      <c r="AF10" s="575"/>
      <c r="AG10" s="575"/>
      <c r="AH10" s="575"/>
      <c r="AI10" s="575"/>
    </row>
    <row r="11" spans="1:35" ht="24.95" customHeight="1" x14ac:dyDescent="0.2">
      <c r="A11" s="573"/>
      <c r="B11" s="573" t="s">
        <v>270</v>
      </c>
      <c r="C11" s="573" t="s">
        <v>203</v>
      </c>
      <c r="D11" s="573" t="s">
        <v>724</v>
      </c>
      <c r="E11" s="564" t="s">
        <v>713</v>
      </c>
      <c r="F11" s="608"/>
      <c r="G11" s="608"/>
      <c r="H11" s="573"/>
      <c r="I11" s="573"/>
      <c r="J11" s="573" t="s">
        <v>675</v>
      </c>
      <c r="K11" s="574" t="s">
        <v>3</v>
      </c>
      <c r="L11" s="567">
        <v>1058840</v>
      </c>
      <c r="M11" s="575"/>
      <c r="N11" s="573"/>
      <c r="O11" s="569">
        <v>0</v>
      </c>
      <c r="P11" s="570" t="s">
        <v>67</v>
      </c>
      <c r="Q11" s="570" t="s">
        <v>68</v>
      </c>
      <c r="R11" s="563" t="s">
        <v>556</v>
      </c>
      <c r="S11" s="563">
        <v>3422121</v>
      </c>
      <c r="T11" s="563" t="s">
        <v>557</v>
      </c>
      <c r="U11" s="573" t="s">
        <v>67</v>
      </c>
      <c r="V11" s="573"/>
      <c r="W11" s="573" t="s">
        <v>702</v>
      </c>
      <c r="X11" s="575"/>
      <c r="Y11" s="575"/>
      <c r="Z11" s="575"/>
      <c r="AA11" s="575"/>
      <c r="AB11" s="575"/>
      <c r="AC11" s="575"/>
      <c r="AD11" s="575"/>
      <c r="AE11" s="575"/>
      <c r="AF11" s="575"/>
      <c r="AG11" s="575"/>
      <c r="AH11" s="575"/>
      <c r="AI11" s="575"/>
    </row>
    <row r="12" spans="1:35" ht="24.95" customHeight="1" x14ac:dyDescent="0.2">
      <c r="A12" s="576">
        <v>80111601</v>
      </c>
      <c r="B12" s="577" t="s">
        <v>471</v>
      </c>
      <c r="C12" s="577" t="s">
        <v>68</v>
      </c>
      <c r="D12" s="577" t="s">
        <v>68</v>
      </c>
      <c r="E12" s="578" t="s">
        <v>541</v>
      </c>
      <c r="F12" s="609" t="s">
        <v>491</v>
      </c>
      <c r="G12" s="609" t="s">
        <v>491</v>
      </c>
      <c r="H12" s="577">
        <v>11</v>
      </c>
      <c r="I12" s="577"/>
      <c r="J12" s="577" t="s">
        <v>83</v>
      </c>
      <c r="K12" s="577"/>
      <c r="L12" s="579">
        <v>27839850</v>
      </c>
      <c r="M12" s="580">
        <v>27839850</v>
      </c>
      <c r="N12" s="577" t="s">
        <v>66</v>
      </c>
      <c r="O12" s="581">
        <v>0</v>
      </c>
      <c r="P12" s="577" t="s">
        <v>67</v>
      </c>
      <c r="Q12" s="577" t="s">
        <v>68</v>
      </c>
      <c r="R12" s="577" t="s">
        <v>543</v>
      </c>
      <c r="S12" s="577">
        <v>3422121</v>
      </c>
      <c r="T12" s="565" t="s">
        <v>544</v>
      </c>
      <c r="U12" s="577" t="s">
        <v>67</v>
      </c>
      <c r="V12" s="577"/>
      <c r="W12" s="565" t="s">
        <v>545</v>
      </c>
      <c r="X12" s="575"/>
      <c r="Y12" s="575"/>
      <c r="Z12" s="575"/>
      <c r="AA12" s="575"/>
      <c r="AB12" s="575"/>
      <c r="AC12" s="575"/>
      <c r="AD12" s="575"/>
      <c r="AE12" s="575"/>
      <c r="AF12" s="575"/>
      <c r="AG12" s="575"/>
      <c r="AH12" s="575"/>
      <c r="AI12" s="575"/>
    </row>
    <row r="13" spans="1:35" ht="24.95" customHeight="1" x14ac:dyDescent="0.2">
      <c r="A13" s="582">
        <v>80121704</v>
      </c>
      <c r="B13" s="565" t="s">
        <v>471</v>
      </c>
      <c r="C13" s="565" t="s">
        <v>68</v>
      </c>
      <c r="D13" s="565" t="s">
        <v>68</v>
      </c>
      <c r="E13" s="583" t="s">
        <v>546</v>
      </c>
      <c r="F13" s="588" t="s">
        <v>491</v>
      </c>
      <c r="G13" s="588" t="s">
        <v>491</v>
      </c>
      <c r="H13" s="565">
        <v>11</v>
      </c>
      <c r="I13" s="582"/>
      <c r="J13" s="565" t="s">
        <v>83</v>
      </c>
      <c r="K13" s="565"/>
      <c r="L13" s="584">
        <v>37343680</v>
      </c>
      <c r="M13" s="568">
        <v>37343680</v>
      </c>
      <c r="N13" s="577" t="s">
        <v>66</v>
      </c>
      <c r="O13" s="581">
        <v>0</v>
      </c>
      <c r="P13" s="577" t="s">
        <v>67</v>
      </c>
      <c r="Q13" s="577" t="s">
        <v>68</v>
      </c>
      <c r="R13" s="565" t="s">
        <v>543</v>
      </c>
      <c r="S13" s="565">
        <v>3422121</v>
      </c>
      <c r="T13" s="565" t="s">
        <v>544</v>
      </c>
      <c r="U13" s="577" t="s">
        <v>67</v>
      </c>
      <c r="V13" s="577"/>
      <c r="W13" s="565" t="s">
        <v>545</v>
      </c>
      <c r="X13" s="575"/>
      <c r="Y13" s="575"/>
      <c r="Z13" s="575"/>
      <c r="AA13" s="575"/>
      <c r="AB13" s="575"/>
      <c r="AC13" s="575"/>
      <c r="AD13" s="575"/>
      <c r="AE13" s="575"/>
      <c r="AF13" s="575"/>
      <c r="AG13" s="575"/>
      <c r="AH13" s="575"/>
      <c r="AI13" s="575"/>
    </row>
    <row r="14" spans="1:35" ht="24.95" customHeight="1" x14ac:dyDescent="0.2">
      <c r="A14" s="582" t="s">
        <v>548</v>
      </c>
      <c r="B14" s="565" t="s">
        <v>471</v>
      </c>
      <c r="C14" s="565" t="s">
        <v>203</v>
      </c>
      <c r="D14" s="565" t="s">
        <v>725</v>
      </c>
      <c r="E14" s="583" t="s">
        <v>726</v>
      </c>
      <c r="F14" s="588" t="s">
        <v>491</v>
      </c>
      <c r="G14" s="588" t="s">
        <v>491</v>
      </c>
      <c r="H14" s="565">
        <v>11</v>
      </c>
      <c r="I14" s="582"/>
      <c r="J14" s="565" t="s">
        <v>83</v>
      </c>
      <c r="K14" s="565"/>
      <c r="L14" s="584">
        <v>44000000</v>
      </c>
      <c r="M14" s="568">
        <v>32000000</v>
      </c>
      <c r="N14" s="577" t="s">
        <v>66</v>
      </c>
      <c r="O14" s="581">
        <v>0</v>
      </c>
      <c r="P14" s="577" t="s">
        <v>67</v>
      </c>
      <c r="Q14" s="577" t="s">
        <v>68</v>
      </c>
      <c r="R14" s="565" t="s">
        <v>552</v>
      </c>
      <c r="S14" s="565">
        <v>3422121</v>
      </c>
      <c r="T14" s="565" t="s">
        <v>553</v>
      </c>
      <c r="U14" s="577" t="s">
        <v>67</v>
      </c>
      <c r="V14" s="577"/>
      <c r="W14" s="565" t="s">
        <v>545</v>
      </c>
      <c r="X14" s="575"/>
      <c r="Y14" s="575"/>
      <c r="Z14" s="575"/>
      <c r="AA14" s="575"/>
      <c r="AB14" s="575"/>
      <c r="AC14" s="575"/>
      <c r="AD14" s="575"/>
      <c r="AE14" s="575"/>
      <c r="AF14" s="575"/>
      <c r="AG14" s="575"/>
      <c r="AH14" s="575"/>
      <c r="AI14" s="575"/>
    </row>
    <row r="15" spans="1:35" ht="24.95" customHeight="1" x14ac:dyDescent="0.2">
      <c r="A15" s="582"/>
      <c r="B15" s="565" t="s">
        <v>471</v>
      </c>
      <c r="C15" s="565" t="s">
        <v>554</v>
      </c>
      <c r="D15" s="565" t="s">
        <v>554</v>
      </c>
      <c r="E15" s="583" t="s">
        <v>727</v>
      </c>
      <c r="F15" s="588" t="s">
        <v>491</v>
      </c>
      <c r="G15" s="588" t="s">
        <v>491</v>
      </c>
      <c r="H15" s="565">
        <v>10</v>
      </c>
      <c r="I15" s="582"/>
      <c r="J15" s="565" t="s">
        <v>83</v>
      </c>
      <c r="K15" s="565"/>
      <c r="L15" s="584">
        <v>25000000</v>
      </c>
      <c r="M15" s="568">
        <v>0</v>
      </c>
      <c r="N15" s="577" t="s">
        <v>66</v>
      </c>
      <c r="O15" s="581">
        <v>0</v>
      </c>
      <c r="P15" s="577" t="s">
        <v>67</v>
      </c>
      <c r="Q15" s="577" t="s">
        <v>68</v>
      </c>
      <c r="R15" s="565" t="s">
        <v>556</v>
      </c>
      <c r="S15" s="565">
        <v>3422121</v>
      </c>
      <c r="T15" s="565" t="s">
        <v>557</v>
      </c>
      <c r="U15" s="577" t="s">
        <v>67</v>
      </c>
      <c r="V15" s="577"/>
      <c r="W15" s="565" t="s">
        <v>545</v>
      </c>
      <c r="X15" s="575"/>
      <c r="Y15" s="575"/>
      <c r="Z15" s="575"/>
      <c r="AA15" s="575"/>
      <c r="AB15" s="575"/>
      <c r="AC15" s="575"/>
      <c r="AD15" s="575"/>
      <c r="AE15" s="575"/>
      <c r="AF15" s="575"/>
      <c r="AG15" s="575"/>
      <c r="AH15" s="575"/>
      <c r="AI15" s="575"/>
    </row>
    <row r="16" spans="1:35" ht="24.95" customHeight="1" x14ac:dyDescent="0.2">
      <c r="A16" s="582">
        <v>84111502</v>
      </c>
      <c r="B16" s="565" t="s">
        <v>471</v>
      </c>
      <c r="C16" s="565" t="s">
        <v>554</v>
      </c>
      <c r="D16" s="565" t="s">
        <v>554</v>
      </c>
      <c r="E16" s="583" t="s">
        <v>558</v>
      </c>
      <c r="F16" s="588" t="s">
        <v>491</v>
      </c>
      <c r="G16" s="588" t="s">
        <v>491</v>
      </c>
      <c r="H16" s="565">
        <v>11</v>
      </c>
      <c r="I16" s="582"/>
      <c r="J16" s="565" t="s">
        <v>83</v>
      </c>
      <c r="K16" s="565"/>
      <c r="L16" s="584">
        <v>48337440</v>
      </c>
      <c r="M16" s="568">
        <v>48337440</v>
      </c>
      <c r="N16" s="577" t="s">
        <v>66</v>
      </c>
      <c r="O16" s="581">
        <v>0</v>
      </c>
      <c r="P16" s="577" t="s">
        <v>67</v>
      </c>
      <c r="Q16" s="577" t="s">
        <v>68</v>
      </c>
      <c r="R16" s="565" t="s">
        <v>556</v>
      </c>
      <c r="S16" s="565">
        <v>3422121</v>
      </c>
      <c r="T16" s="565" t="s">
        <v>557</v>
      </c>
      <c r="U16" s="577" t="s">
        <v>67</v>
      </c>
      <c r="V16" s="577"/>
      <c r="W16" s="565" t="s">
        <v>545</v>
      </c>
      <c r="X16" s="575"/>
      <c r="Y16" s="575"/>
      <c r="Z16" s="575"/>
      <c r="AA16" s="575"/>
      <c r="AB16" s="575"/>
      <c r="AC16" s="575"/>
      <c r="AD16" s="575"/>
      <c r="AE16" s="575"/>
      <c r="AF16" s="575"/>
      <c r="AG16" s="575"/>
      <c r="AH16" s="575"/>
      <c r="AI16" s="575"/>
    </row>
    <row r="17" spans="1:35" ht="24.95" customHeight="1" x14ac:dyDescent="0.2">
      <c r="A17" s="607">
        <v>93141506</v>
      </c>
      <c r="B17" s="565" t="s">
        <v>471</v>
      </c>
      <c r="C17" s="565" t="s">
        <v>473</v>
      </c>
      <c r="D17" s="565" t="s">
        <v>559</v>
      </c>
      <c r="E17" s="583" t="s">
        <v>728</v>
      </c>
      <c r="F17" s="588" t="s">
        <v>491</v>
      </c>
      <c r="G17" s="588" t="s">
        <v>491</v>
      </c>
      <c r="H17" s="565">
        <v>11</v>
      </c>
      <c r="I17" s="582"/>
      <c r="J17" s="565" t="s">
        <v>83</v>
      </c>
      <c r="K17" s="565"/>
      <c r="L17" s="584">
        <v>24000000</v>
      </c>
      <c r="M17" s="568">
        <v>24000000</v>
      </c>
      <c r="N17" s="577" t="s">
        <v>66</v>
      </c>
      <c r="O17" s="581">
        <v>0</v>
      </c>
      <c r="P17" s="577" t="s">
        <v>67</v>
      </c>
      <c r="Q17" s="577" t="s">
        <v>68</v>
      </c>
      <c r="R17" s="565" t="s">
        <v>476</v>
      </c>
      <c r="S17" s="565">
        <v>3422121</v>
      </c>
      <c r="T17" s="565" t="s">
        <v>494</v>
      </c>
      <c r="U17" s="577" t="s">
        <v>67</v>
      </c>
      <c r="V17" s="577"/>
      <c r="W17" s="565" t="s">
        <v>545</v>
      </c>
      <c r="X17" s="575"/>
      <c r="Y17" s="575"/>
      <c r="Z17" s="575"/>
      <c r="AA17" s="575"/>
      <c r="AB17" s="575"/>
      <c r="AC17" s="575"/>
      <c r="AD17" s="575"/>
      <c r="AE17" s="575"/>
      <c r="AF17" s="575"/>
      <c r="AG17" s="575"/>
      <c r="AH17" s="575"/>
      <c r="AI17" s="575"/>
    </row>
    <row r="18" spans="1:35" ht="24.95" customHeight="1" x14ac:dyDescent="0.2">
      <c r="A18" s="607">
        <v>86101705</v>
      </c>
      <c r="B18" s="565" t="s">
        <v>471</v>
      </c>
      <c r="C18" s="565" t="s">
        <v>473</v>
      </c>
      <c r="D18" s="565" t="s">
        <v>559</v>
      </c>
      <c r="E18" s="583" t="s">
        <v>729</v>
      </c>
      <c r="F18" s="588" t="s">
        <v>563</v>
      </c>
      <c r="G18" s="588" t="s">
        <v>563</v>
      </c>
      <c r="H18" s="565">
        <v>9</v>
      </c>
      <c r="I18" s="582"/>
      <c r="J18" s="565" t="s">
        <v>154</v>
      </c>
      <c r="K18" s="565"/>
      <c r="L18" s="584">
        <v>11606800</v>
      </c>
      <c r="M18" s="568">
        <v>11606800</v>
      </c>
      <c r="N18" s="577" t="s">
        <v>66</v>
      </c>
      <c r="O18" s="581">
        <v>0</v>
      </c>
      <c r="P18" s="577" t="s">
        <v>67</v>
      </c>
      <c r="Q18" s="577" t="s">
        <v>68</v>
      </c>
      <c r="R18" s="565" t="s">
        <v>476</v>
      </c>
      <c r="S18" s="565"/>
      <c r="T18" s="565" t="s">
        <v>494</v>
      </c>
      <c r="U18" s="577" t="s">
        <v>67</v>
      </c>
      <c r="V18" s="577"/>
      <c r="W18" s="565" t="s">
        <v>545</v>
      </c>
      <c r="X18" s="575"/>
      <c r="Y18" s="575"/>
      <c r="Z18" s="575"/>
      <c r="AA18" s="575"/>
      <c r="AB18" s="575"/>
      <c r="AC18" s="575"/>
      <c r="AD18" s="575"/>
      <c r="AE18" s="575"/>
      <c r="AF18" s="575"/>
      <c r="AG18" s="575"/>
      <c r="AH18" s="575"/>
      <c r="AI18" s="575"/>
    </row>
    <row r="19" spans="1:35" ht="24.95" customHeight="1" x14ac:dyDescent="0.2">
      <c r="A19" s="582" t="s">
        <v>565</v>
      </c>
      <c r="B19" s="565" t="s">
        <v>471</v>
      </c>
      <c r="C19" s="565" t="s">
        <v>473</v>
      </c>
      <c r="D19" s="565" t="s">
        <v>559</v>
      </c>
      <c r="E19" s="583" t="s">
        <v>730</v>
      </c>
      <c r="F19" s="588" t="s">
        <v>567</v>
      </c>
      <c r="G19" s="588" t="s">
        <v>567</v>
      </c>
      <c r="H19" s="565">
        <v>9</v>
      </c>
      <c r="I19" s="582"/>
      <c r="J19" s="565" t="s">
        <v>318</v>
      </c>
      <c r="K19" s="565"/>
      <c r="L19" s="584">
        <v>30486143</v>
      </c>
      <c r="M19" s="568">
        <v>30486143</v>
      </c>
      <c r="N19" s="577" t="s">
        <v>66</v>
      </c>
      <c r="O19" s="581">
        <v>0</v>
      </c>
      <c r="P19" s="577" t="s">
        <v>67</v>
      </c>
      <c r="Q19" s="577" t="s">
        <v>68</v>
      </c>
      <c r="R19" s="565" t="s">
        <v>476</v>
      </c>
      <c r="S19" s="565"/>
      <c r="T19" s="565" t="s">
        <v>494</v>
      </c>
      <c r="U19" s="577" t="s">
        <v>67</v>
      </c>
      <c r="V19" s="577"/>
      <c r="W19" s="565" t="s">
        <v>545</v>
      </c>
      <c r="X19" s="575"/>
      <c r="Y19" s="575"/>
      <c r="Z19" s="575"/>
      <c r="AA19" s="575"/>
      <c r="AB19" s="575"/>
      <c r="AC19" s="575"/>
      <c r="AD19" s="575"/>
      <c r="AE19" s="575"/>
      <c r="AF19" s="575"/>
      <c r="AG19" s="575"/>
      <c r="AH19" s="575"/>
      <c r="AI19" s="575"/>
    </row>
    <row r="20" spans="1:35" ht="24.95" customHeight="1" x14ac:dyDescent="0.2">
      <c r="A20" s="582">
        <v>80111600</v>
      </c>
      <c r="B20" s="565" t="s">
        <v>471</v>
      </c>
      <c r="C20" s="565" t="s">
        <v>473</v>
      </c>
      <c r="D20" s="565" t="s">
        <v>559</v>
      </c>
      <c r="E20" s="583" t="s">
        <v>731</v>
      </c>
      <c r="F20" s="588" t="s">
        <v>491</v>
      </c>
      <c r="G20" s="588" t="s">
        <v>491</v>
      </c>
      <c r="H20" s="565">
        <v>11</v>
      </c>
      <c r="I20" s="582"/>
      <c r="J20" s="565" t="s">
        <v>83</v>
      </c>
      <c r="K20" s="565"/>
      <c r="L20" s="584">
        <v>37775628</v>
      </c>
      <c r="M20" s="568">
        <v>36630921</v>
      </c>
      <c r="N20" s="565" t="s">
        <v>66</v>
      </c>
      <c r="O20" s="581">
        <v>0</v>
      </c>
      <c r="P20" s="577" t="s">
        <v>67</v>
      </c>
      <c r="Q20" s="577" t="s">
        <v>68</v>
      </c>
      <c r="R20" s="565" t="s">
        <v>476</v>
      </c>
      <c r="S20" s="565"/>
      <c r="T20" s="565" t="s">
        <v>494</v>
      </c>
      <c r="U20" s="577" t="s">
        <v>67</v>
      </c>
      <c r="V20" s="577"/>
      <c r="W20" s="565" t="s">
        <v>545</v>
      </c>
      <c r="X20" s="575"/>
      <c r="Y20" s="575"/>
      <c r="Z20" s="575"/>
      <c r="AA20" s="575"/>
      <c r="AB20" s="575"/>
      <c r="AC20" s="575"/>
      <c r="AD20" s="575"/>
      <c r="AE20" s="575"/>
      <c r="AF20" s="575"/>
      <c r="AG20" s="575"/>
      <c r="AH20" s="575"/>
      <c r="AI20" s="575"/>
    </row>
    <row r="21" spans="1:35" ht="24.95" customHeight="1" x14ac:dyDescent="0.2">
      <c r="A21" s="607" t="s">
        <v>732</v>
      </c>
      <c r="B21" s="565" t="s">
        <v>471</v>
      </c>
      <c r="C21" s="565" t="s">
        <v>554</v>
      </c>
      <c r="D21" s="565" t="s">
        <v>575</v>
      </c>
      <c r="E21" s="583" t="s">
        <v>576</v>
      </c>
      <c r="F21" s="588" t="s">
        <v>491</v>
      </c>
      <c r="G21" s="588" t="s">
        <v>491</v>
      </c>
      <c r="H21" s="565">
        <v>11</v>
      </c>
      <c r="I21" s="582">
        <v>20</v>
      </c>
      <c r="J21" s="565" t="s">
        <v>83</v>
      </c>
      <c r="K21" s="565"/>
      <c r="L21" s="584">
        <f>+(43494500+2900000+4394000)*1.04</f>
        <v>52820040</v>
      </c>
      <c r="M21" s="568">
        <v>43494500</v>
      </c>
      <c r="N21" s="565" t="s">
        <v>210</v>
      </c>
      <c r="O21" s="585">
        <v>4500000</v>
      </c>
      <c r="P21" s="577" t="s">
        <v>67</v>
      </c>
      <c r="Q21" s="577" t="s">
        <v>68</v>
      </c>
      <c r="R21" s="565" t="s">
        <v>556</v>
      </c>
      <c r="S21" s="565"/>
      <c r="T21" s="565" t="s">
        <v>557</v>
      </c>
      <c r="U21" s="577" t="s">
        <v>67</v>
      </c>
      <c r="V21" s="577"/>
      <c r="W21" s="565" t="s">
        <v>545</v>
      </c>
      <c r="X21" s="575"/>
      <c r="Y21" s="575"/>
      <c r="Z21" s="575"/>
      <c r="AA21" s="575"/>
      <c r="AB21" s="575"/>
      <c r="AC21" s="575"/>
      <c r="AD21" s="575"/>
      <c r="AE21" s="575"/>
      <c r="AF21" s="575"/>
      <c r="AG21" s="575"/>
      <c r="AH21" s="575"/>
      <c r="AI21" s="575"/>
    </row>
    <row r="22" spans="1:35" ht="24.95" customHeight="1" x14ac:dyDescent="0.2">
      <c r="A22" s="582"/>
      <c r="B22" s="565" t="s">
        <v>471</v>
      </c>
      <c r="C22" s="565" t="s">
        <v>473</v>
      </c>
      <c r="D22" s="565" t="s">
        <v>559</v>
      </c>
      <c r="E22" s="583" t="s">
        <v>577</v>
      </c>
      <c r="F22" s="588" t="s">
        <v>578</v>
      </c>
      <c r="G22" s="588" t="s">
        <v>578</v>
      </c>
      <c r="H22" s="565">
        <v>1</v>
      </c>
      <c r="I22" s="582"/>
      <c r="J22" s="565"/>
      <c r="K22" s="565"/>
      <c r="L22" s="584">
        <v>7000000</v>
      </c>
      <c r="M22" s="568">
        <v>23000000</v>
      </c>
      <c r="N22" s="565" t="s">
        <v>66</v>
      </c>
      <c r="O22" s="585">
        <v>0</v>
      </c>
      <c r="P22" s="577" t="s">
        <v>67</v>
      </c>
      <c r="Q22" s="577" t="s">
        <v>68</v>
      </c>
      <c r="R22" s="565" t="s">
        <v>476</v>
      </c>
      <c r="S22" s="565"/>
      <c r="T22" s="565" t="s">
        <v>494</v>
      </c>
      <c r="U22" s="577" t="s">
        <v>67</v>
      </c>
      <c r="V22" s="577"/>
      <c r="W22" s="565" t="s">
        <v>545</v>
      </c>
      <c r="X22" s="575"/>
      <c r="Y22" s="575"/>
      <c r="Z22" s="575"/>
      <c r="AA22" s="575"/>
      <c r="AB22" s="575"/>
      <c r="AC22" s="575"/>
      <c r="AD22" s="575"/>
      <c r="AE22" s="575"/>
      <c r="AF22" s="575"/>
      <c r="AG22" s="575"/>
      <c r="AH22" s="575"/>
      <c r="AI22" s="575"/>
    </row>
    <row r="23" spans="1:35" ht="24.95" customHeight="1" x14ac:dyDescent="0.2">
      <c r="A23" s="582" t="s">
        <v>579</v>
      </c>
      <c r="B23" s="565" t="s">
        <v>471</v>
      </c>
      <c r="C23" s="565" t="s">
        <v>473</v>
      </c>
      <c r="D23" s="565" t="s">
        <v>559</v>
      </c>
      <c r="E23" s="583" t="s">
        <v>580</v>
      </c>
      <c r="F23" s="588" t="s">
        <v>581</v>
      </c>
      <c r="G23" s="588" t="s">
        <v>581</v>
      </c>
      <c r="H23" s="565">
        <v>8</v>
      </c>
      <c r="I23" s="582"/>
      <c r="J23" s="565" t="s">
        <v>154</v>
      </c>
      <c r="K23" s="565"/>
      <c r="L23" s="584">
        <v>14013857</v>
      </c>
      <c r="M23" s="568">
        <v>14013857</v>
      </c>
      <c r="N23" s="565" t="s">
        <v>66</v>
      </c>
      <c r="O23" s="585">
        <v>0</v>
      </c>
      <c r="P23" s="577" t="s">
        <v>67</v>
      </c>
      <c r="Q23" s="577" t="s">
        <v>68</v>
      </c>
      <c r="R23" s="565" t="s">
        <v>583</v>
      </c>
      <c r="S23" s="565"/>
      <c r="T23" s="565" t="s">
        <v>584</v>
      </c>
      <c r="U23" s="577" t="s">
        <v>67</v>
      </c>
      <c r="V23" s="577"/>
      <c r="W23" s="565" t="s">
        <v>545</v>
      </c>
      <c r="X23" s="575"/>
      <c r="Y23" s="575"/>
      <c r="Z23" s="575"/>
      <c r="AA23" s="575"/>
      <c r="AB23" s="575"/>
      <c r="AC23" s="575"/>
      <c r="AD23" s="575"/>
      <c r="AE23" s="575"/>
      <c r="AF23" s="575"/>
      <c r="AG23" s="575"/>
      <c r="AH23" s="575"/>
      <c r="AI23" s="575"/>
    </row>
    <row r="24" spans="1:35" ht="24.95" customHeight="1" x14ac:dyDescent="0.2">
      <c r="A24" s="607" t="s">
        <v>585</v>
      </c>
      <c r="B24" s="565" t="s">
        <v>471</v>
      </c>
      <c r="C24" s="565" t="s">
        <v>473</v>
      </c>
      <c r="D24" s="565" t="s">
        <v>559</v>
      </c>
      <c r="E24" s="583" t="s">
        <v>733</v>
      </c>
      <c r="F24" s="588" t="s">
        <v>578</v>
      </c>
      <c r="G24" s="588" t="s">
        <v>578</v>
      </c>
      <c r="H24" s="565">
        <v>7</v>
      </c>
      <c r="I24" s="582"/>
      <c r="J24" s="565" t="s">
        <v>154</v>
      </c>
      <c r="K24" s="565"/>
      <c r="L24" s="584">
        <v>14000000</v>
      </c>
      <c r="M24" s="568">
        <v>12076200</v>
      </c>
      <c r="N24" s="565" t="s">
        <v>66</v>
      </c>
      <c r="O24" s="585">
        <v>0</v>
      </c>
      <c r="P24" s="577" t="s">
        <v>67</v>
      </c>
      <c r="Q24" s="577" t="s">
        <v>68</v>
      </c>
      <c r="R24" s="565" t="s">
        <v>583</v>
      </c>
      <c r="S24" s="565"/>
      <c r="T24" s="565" t="s">
        <v>584</v>
      </c>
      <c r="U24" s="577" t="s">
        <v>67</v>
      </c>
      <c r="V24" s="577"/>
      <c r="W24" s="565" t="s">
        <v>545</v>
      </c>
      <c r="X24" s="575"/>
      <c r="Y24" s="575"/>
      <c r="Z24" s="575"/>
      <c r="AA24" s="575"/>
      <c r="AB24" s="575"/>
      <c r="AC24" s="575"/>
      <c r="AD24" s="575"/>
      <c r="AE24" s="575"/>
      <c r="AF24" s="575"/>
      <c r="AG24" s="575"/>
      <c r="AH24" s="575"/>
      <c r="AI24" s="575"/>
    </row>
    <row r="25" spans="1:35" ht="24.95" customHeight="1" x14ac:dyDescent="0.2">
      <c r="A25" s="607">
        <v>41113038</v>
      </c>
      <c r="B25" s="565" t="s">
        <v>471</v>
      </c>
      <c r="C25" s="565" t="s">
        <v>473</v>
      </c>
      <c r="D25" s="565" t="s">
        <v>559</v>
      </c>
      <c r="E25" s="583" t="s">
        <v>587</v>
      </c>
      <c r="F25" s="588" t="s">
        <v>572</v>
      </c>
      <c r="G25" s="588" t="s">
        <v>572</v>
      </c>
      <c r="H25" s="565">
        <v>7</v>
      </c>
      <c r="I25" s="582"/>
      <c r="J25" s="565" t="s">
        <v>154</v>
      </c>
      <c r="K25" s="565"/>
      <c r="L25" s="584">
        <v>500000</v>
      </c>
      <c r="M25" s="568">
        <v>0</v>
      </c>
      <c r="N25" s="565" t="s">
        <v>66</v>
      </c>
      <c r="O25" s="585">
        <v>0</v>
      </c>
      <c r="P25" s="577" t="s">
        <v>67</v>
      </c>
      <c r="Q25" s="577" t="s">
        <v>68</v>
      </c>
      <c r="R25" s="565" t="s">
        <v>583</v>
      </c>
      <c r="S25" s="565"/>
      <c r="T25" s="565" t="s">
        <v>584</v>
      </c>
      <c r="U25" s="577" t="s">
        <v>67</v>
      </c>
      <c r="V25" s="577"/>
      <c r="W25" s="565" t="s">
        <v>545</v>
      </c>
      <c r="X25" s="575"/>
      <c r="Y25" s="575"/>
      <c r="Z25" s="575"/>
      <c r="AA25" s="575"/>
      <c r="AB25" s="575"/>
      <c r="AC25" s="575"/>
      <c r="AD25" s="575"/>
      <c r="AE25" s="575"/>
      <c r="AF25" s="575"/>
      <c r="AG25" s="575"/>
      <c r="AH25" s="575"/>
      <c r="AI25" s="575"/>
    </row>
    <row r="26" spans="1:35" ht="24.95" customHeight="1" x14ac:dyDescent="0.2">
      <c r="A26" s="582"/>
      <c r="B26" s="565" t="s">
        <v>471</v>
      </c>
      <c r="C26" s="565" t="s">
        <v>473</v>
      </c>
      <c r="D26" s="565" t="s">
        <v>725</v>
      </c>
      <c r="E26" s="583" t="s">
        <v>589</v>
      </c>
      <c r="F26" s="588" t="s">
        <v>590</v>
      </c>
      <c r="G26" s="588" t="s">
        <v>590</v>
      </c>
      <c r="H26" s="565">
        <v>11</v>
      </c>
      <c r="I26" s="582"/>
      <c r="J26" s="565"/>
      <c r="K26" s="583" t="s">
        <v>3</v>
      </c>
      <c r="L26" s="584">
        <v>7834750</v>
      </c>
      <c r="M26" s="568">
        <v>7834750</v>
      </c>
      <c r="N26" s="565" t="s">
        <v>66</v>
      </c>
      <c r="O26" s="585">
        <v>0</v>
      </c>
      <c r="P26" s="577" t="s">
        <v>67</v>
      </c>
      <c r="Q26" s="577" t="s">
        <v>68</v>
      </c>
      <c r="R26" s="565" t="s">
        <v>552</v>
      </c>
      <c r="S26" s="565"/>
      <c r="T26" s="565" t="s">
        <v>553</v>
      </c>
      <c r="U26" s="577" t="s">
        <v>67</v>
      </c>
      <c r="V26" s="577"/>
      <c r="W26" s="565" t="s">
        <v>545</v>
      </c>
      <c r="X26" s="575"/>
      <c r="Y26" s="575"/>
      <c r="Z26" s="575"/>
      <c r="AA26" s="575"/>
      <c r="AB26" s="575"/>
      <c r="AC26" s="575"/>
      <c r="AD26" s="575"/>
      <c r="AE26" s="575"/>
      <c r="AF26" s="575"/>
      <c r="AG26" s="575"/>
      <c r="AH26" s="575"/>
      <c r="AI26" s="575"/>
    </row>
    <row r="27" spans="1:35" ht="24.95" customHeight="1" x14ac:dyDescent="0.2">
      <c r="A27" s="582">
        <v>44122003</v>
      </c>
      <c r="B27" s="565" t="s">
        <v>471</v>
      </c>
      <c r="C27" s="565" t="s">
        <v>288</v>
      </c>
      <c r="D27" s="565" t="s">
        <v>592</v>
      </c>
      <c r="E27" s="583" t="s">
        <v>593</v>
      </c>
      <c r="F27" s="588" t="s">
        <v>578</v>
      </c>
      <c r="G27" s="588" t="s">
        <v>578</v>
      </c>
      <c r="H27" s="565">
        <v>1</v>
      </c>
      <c r="I27" s="582"/>
      <c r="J27" s="565" t="s">
        <v>154</v>
      </c>
      <c r="K27" s="565"/>
      <c r="L27" s="584">
        <v>1000000</v>
      </c>
      <c r="M27" s="568">
        <v>917900</v>
      </c>
      <c r="N27" s="565" t="s">
        <v>66</v>
      </c>
      <c r="O27" s="585">
        <v>0</v>
      </c>
      <c r="P27" s="577" t="s">
        <v>67</v>
      </c>
      <c r="Q27" s="577" t="s">
        <v>68</v>
      </c>
      <c r="R27" s="565" t="s">
        <v>595</v>
      </c>
      <c r="S27" s="565"/>
      <c r="T27" s="565" t="s">
        <v>596</v>
      </c>
      <c r="U27" s="577" t="s">
        <v>67</v>
      </c>
      <c r="V27" s="577"/>
      <c r="W27" s="565" t="s">
        <v>545</v>
      </c>
      <c r="X27" s="575"/>
      <c r="Y27" s="575"/>
      <c r="Z27" s="575"/>
      <c r="AA27" s="575"/>
      <c r="AB27" s="575"/>
      <c r="AC27" s="575"/>
      <c r="AD27" s="575"/>
      <c r="AE27" s="575"/>
      <c r="AF27" s="575"/>
      <c r="AG27" s="575"/>
      <c r="AH27" s="575"/>
      <c r="AI27" s="575"/>
    </row>
    <row r="28" spans="1:35" ht="24.95" customHeight="1" x14ac:dyDescent="0.2">
      <c r="A28" s="582">
        <v>78102200</v>
      </c>
      <c r="B28" s="565" t="s">
        <v>471</v>
      </c>
      <c r="C28" s="565" t="s">
        <v>288</v>
      </c>
      <c r="D28" s="565" t="s">
        <v>592</v>
      </c>
      <c r="E28" s="583" t="s">
        <v>734</v>
      </c>
      <c r="F28" s="588" t="s">
        <v>491</v>
      </c>
      <c r="G28" s="588" t="s">
        <v>491</v>
      </c>
      <c r="H28" s="565">
        <v>11</v>
      </c>
      <c r="I28" s="582"/>
      <c r="J28" s="565" t="s">
        <v>83</v>
      </c>
      <c r="K28" s="565"/>
      <c r="L28" s="584">
        <v>3500000</v>
      </c>
      <c r="M28" s="568">
        <v>2667250</v>
      </c>
      <c r="N28" s="565" t="s">
        <v>66</v>
      </c>
      <c r="O28" s="585">
        <v>0</v>
      </c>
      <c r="P28" s="577" t="s">
        <v>67</v>
      </c>
      <c r="Q28" s="577" t="s">
        <v>68</v>
      </c>
      <c r="R28" s="565" t="s">
        <v>595</v>
      </c>
      <c r="S28" s="565"/>
      <c r="T28" s="565" t="s">
        <v>596</v>
      </c>
      <c r="U28" s="577" t="s">
        <v>67</v>
      </c>
      <c r="V28" s="577"/>
      <c r="W28" s="565" t="s">
        <v>545</v>
      </c>
      <c r="X28" s="575"/>
      <c r="Y28" s="575"/>
      <c r="Z28" s="575"/>
      <c r="AA28" s="575"/>
      <c r="AB28" s="575"/>
      <c r="AC28" s="575"/>
      <c r="AD28" s="575"/>
      <c r="AE28" s="575"/>
      <c r="AF28" s="575"/>
      <c r="AG28" s="575"/>
      <c r="AH28" s="575"/>
      <c r="AI28" s="575"/>
    </row>
    <row r="29" spans="1:35" s="586" customFormat="1" ht="24.95" customHeight="1" x14ac:dyDescent="0.2">
      <c r="A29" s="582">
        <v>80111601</v>
      </c>
      <c r="B29" s="565" t="s">
        <v>471</v>
      </c>
      <c r="C29" s="565" t="s">
        <v>288</v>
      </c>
      <c r="D29" s="565" t="s">
        <v>592</v>
      </c>
      <c r="E29" s="583" t="s">
        <v>599</v>
      </c>
      <c r="F29" s="588" t="s">
        <v>491</v>
      </c>
      <c r="G29" s="588" t="s">
        <v>491</v>
      </c>
      <c r="H29" s="565">
        <v>11</v>
      </c>
      <c r="I29" s="582"/>
      <c r="J29" s="565" t="s">
        <v>83</v>
      </c>
      <c r="K29" s="565"/>
      <c r="L29" s="584">
        <v>27839713</v>
      </c>
      <c r="M29" s="568">
        <v>26996086</v>
      </c>
      <c r="N29" s="565" t="s">
        <v>66</v>
      </c>
      <c r="O29" s="585">
        <v>0</v>
      </c>
      <c r="P29" s="577" t="s">
        <v>67</v>
      </c>
      <c r="Q29" s="577" t="s">
        <v>68</v>
      </c>
      <c r="R29" s="565" t="s">
        <v>595</v>
      </c>
      <c r="S29" s="565"/>
      <c r="T29" s="565" t="s">
        <v>596</v>
      </c>
      <c r="U29" s="577" t="s">
        <v>67</v>
      </c>
      <c r="V29" s="577"/>
      <c r="W29" s="565" t="s">
        <v>545</v>
      </c>
      <c r="X29" s="575"/>
      <c r="Y29" s="575"/>
      <c r="Z29" s="575"/>
      <c r="AA29" s="565"/>
      <c r="AB29" s="565"/>
      <c r="AC29" s="565"/>
      <c r="AD29" s="565"/>
      <c r="AE29" s="565"/>
      <c r="AF29" s="565"/>
      <c r="AG29" s="565"/>
      <c r="AH29" s="565"/>
      <c r="AI29" s="565"/>
    </row>
    <row r="30" spans="1:35" ht="24.95" customHeight="1" x14ac:dyDescent="0.2">
      <c r="A30" s="582"/>
      <c r="B30" s="565" t="s">
        <v>471</v>
      </c>
      <c r="C30" s="565" t="s">
        <v>288</v>
      </c>
      <c r="D30" s="565" t="s">
        <v>592</v>
      </c>
      <c r="E30" s="583" t="s">
        <v>601</v>
      </c>
      <c r="F30" s="588" t="s">
        <v>581</v>
      </c>
      <c r="G30" s="588" t="s">
        <v>581</v>
      </c>
      <c r="H30" s="565">
        <v>9</v>
      </c>
      <c r="I30" s="582"/>
      <c r="J30" s="565" t="s">
        <v>151</v>
      </c>
      <c r="K30" s="565"/>
      <c r="L30" s="584">
        <f>50000000-10219921</f>
        <v>39780079</v>
      </c>
      <c r="M30" s="568">
        <v>0</v>
      </c>
      <c r="N30" s="565" t="s">
        <v>66</v>
      </c>
      <c r="O30" s="585">
        <v>0</v>
      </c>
      <c r="P30" s="577" t="s">
        <v>67</v>
      </c>
      <c r="Q30" s="577" t="s">
        <v>68</v>
      </c>
      <c r="R30" s="565" t="s">
        <v>595</v>
      </c>
      <c r="S30" s="565"/>
      <c r="T30" s="565" t="s">
        <v>596</v>
      </c>
      <c r="U30" s="577" t="s">
        <v>67</v>
      </c>
      <c r="V30" s="577"/>
      <c r="W30" s="565" t="s">
        <v>545</v>
      </c>
      <c r="X30" s="575"/>
      <c r="Y30" s="575"/>
      <c r="Z30" s="575"/>
      <c r="AA30" s="575"/>
      <c r="AB30" s="575"/>
      <c r="AC30" s="575"/>
      <c r="AD30" s="575"/>
      <c r="AE30" s="575"/>
      <c r="AF30" s="575"/>
      <c r="AG30" s="575"/>
      <c r="AH30" s="575"/>
      <c r="AI30" s="575"/>
    </row>
    <row r="31" spans="1:35" ht="24.95" customHeight="1" x14ac:dyDescent="0.2">
      <c r="A31" s="582"/>
      <c r="B31" s="565" t="s">
        <v>471</v>
      </c>
      <c r="C31" s="565" t="s">
        <v>288</v>
      </c>
      <c r="D31" s="565" t="s">
        <v>592</v>
      </c>
      <c r="E31" s="583" t="s">
        <v>603</v>
      </c>
      <c r="F31" s="588" t="s">
        <v>563</v>
      </c>
      <c r="G31" s="588" t="s">
        <v>563</v>
      </c>
      <c r="H31" s="565">
        <v>2</v>
      </c>
      <c r="I31" s="582"/>
      <c r="J31" s="565" t="s">
        <v>154</v>
      </c>
      <c r="K31" s="565"/>
      <c r="L31" s="584">
        <v>6000000</v>
      </c>
      <c r="M31" s="568">
        <v>0</v>
      </c>
      <c r="N31" s="565" t="s">
        <v>66</v>
      </c>
      <c r="O31" s="585">
        <v>0</v>
      </c>
      <c r="P31" s="577" t="s">
        <v>67</v>
      </c>
      <c r="Q31" s="577" t="s">
        <v>68</v>
      </c>
      <c r="R31" s="565" t="s">
        <v>595</v>
      </c>
      <c r="S31" s="565"/>
      <c r="T31" s="565" t="s">
        <v>596</v>
      </c>
      <c r="U31" s="577" t="s">
        <v>67</v>
      </c>
      <c r="V31" s="577"/>
      <c r="W31" s="565" t="s">
        <v>545</v>
      </c>
      <c r="X31" s="575"/>
      <c r="Y31" s="575"/>
      <c r="Z31" s="575"/>
      <c r="AA31" s="575"/>
      <c r="AB31" s="575"/>
      <c r="AC31" s="575"/>
      <c r="AD31" s="575"/>
      <c r="AE31" s="575"/>
      <c r="AF31" s="575"/>
      <c r="AG31" s="575"/>
      <c r="AH31" s="575"/>
      <c r="AI31" s="575"/>
    </row>
    <row r="32" spans="1:35" ht="24.95" customHeight="1" x14ac:dyDescent="0.2">
      <c r="A32" s="582"/>
      <c r="B32" s="565" t="s">
        <v>471</v>
      </c>
      <c r="C32" s="565" t="s">
        <v>288</v>
      </c>
      <c r="D32" s="565" t="s">
        <v>592</v>
      </c>
      <c r="E32" s="583" t="s">
        <v>606</v>
      </c>
      <c r="F32" s="588" t="s">
        <v>590</v>
      </c>
      <c r="G32" s="588" t="s">
        <v>590</v>
      </c>
      <c r="H32" s="565">
        <v>1</v>
      </c>
      <c r="I32" s="582"/>
      <c r="J32" s="565" t="s">
        <v>154</v>
      </c>
      <c r="K32" s="565"/>
      <c r="L32" s="584">
        <v>1000000</v>
      </c>
      <c r="M32" s="568">
        <v>0</v>
      </c>
      <c r="N32" s="565" t="s">
        <v>66</v>
      </c>
      <c r="O32" s="585">
        <v>0</v>
      </c>
      <c r="P32" s="577" t="s">
        <v>67</v>
      </c>
      <c r="Q32" s="577" t="s">
        <v>68</v>
      </c>
      <c r="R32" s="565" t="s">
        <v>595</v>
      </c>
      <c r="S32" s="565"/>
      <c r="T32" s="565" t="s">
        <v>596</v>
      </c>
      <c r="U32" s="577" t="s">
        <v>67</v>
      </c>
      <c r="V32" s="577"/>
      <c r="W32" s="565" t="s">
        <v>545</v>
      </c>
      <c r="X32" s="575"/>
      <c r="Y32" s="575"/>
      <c r="Z32" s="575"/>
      <c r="AA32" s="575"/>
      <c r="AB32" s="575"/>
      <c r="AC32" s="575"/>
      <c r="AD32" s="575"/>
      <c r="AE32" s="575"/>
      <c r="AF32" s="575"/>
      <c r="AG32" s="575"/>
      <c r="AH32" s="575"/>
      <c r="AI32" s="575"/>
    </row>
    <row r="33" spans="1:35" ht="24.95" customHeight="1" x14ac:dyDescent="0.2">
      <c r="A33" s="582"/>
      <c r="B33" s="565" t="s">
        <v>471</v>
      </c>
      <c r="C33" s="565" t="s">
        <v>288</v>
      </c>
      <c r="D33" s="565" t="s">
        <v>592</v>
      </c>
      <c r="E33" s="583" t="s">
        <v>607</v>
      </c>
      <c r="F33" s="588" t="s">
        <v>581</v>
      </c>
      <c r="G33" s="588" t="s">
        <v>581</v>
      </c>
      <c r="H33" s="565">
        <v>2</v>
      </c>
      <c r="I33" s="582"/>
      <c r="J33" s="565" t="s">
        <v>154</v>
      </c>
      <c r="K33" s="565"/>
      <c r="L33" s="584">
        <v>7000000</v>
      </c>
      <c r="M33" s="568">
        <v>25986545</v>
      </c>
      <c r="N33" s="565" t="s">
        <v>66</v>
      </c>
      <c r="O33" s="585">
        <v>0</v>
      </c>
      <c r="P33" s="577" t="s">
        <v>67</v>
      </c>
      <c r="Q33" s="577" t="s">
        <v>68</v>
      </c>
      <c r="R33" s="565" t="s">
        <v>595</v>
      </c>
      <c r="S33" s="565"/>
      <c r="T33" s="565" t="s">
        <v>596</v>
      </c>
      <c r="U33" s="577" t="s">
        <v>67</v>
      </c>
      <c r="V33" s="577"/>
      <c r="W33" s="565" t="s">
        <v>545</v>
      </c>
      <c r="X33" s="575"/>
      <c r="Y33" s="575"/>
      <c r="Z33" s="575"/>
      <c r="AA33" s="575"/>
      <c r="AB33" s="575"/>
      <c r="AC33" s="575"/>
      <c r="AD33" s="575"/>
      <c r="AE33" s="575"/>
      <c r="AF33" s="575"/>
      <c r="AG33" s="575"/>
      <c r="AH33" s="575"/>
      <c r="AI33" s="575"/>
    </row>
    <row r="34" spans="1:35" ht="24.95" customHeight="1" x14ac:dyDescent="0.2">
      <c r="A34" s="582"/>
      <c r="B34" s="583" t="s">
        <v>471</v>
      </c>
      <c r="C34" s="583" t="s">
        <v>281</v>
      </c>
      <c r="D34" s="583" t="s">
        <v>609</v>
      </c>
      <c r="E34" s="583" t="s">
        <v>610</v>
      </c>
      <c r="F34" s="588" t="s">
        <v>491</v>
      </c>
      <c r="G34" s="588" t="s">
        <v>491</v>
      </c>
      <c r="H34" s="582">
        <v>12</v>
      </c>
      <c r="I34" s="582"/>
      <c r="J34" s="565" t="s">
        <v>83</v>
      </c>
      <c r="K34" s="583" t="s">
        <v>3</v>
      </c>
      <c r="L34" s="584">
        <v>6000000</v>
      </c>
      <c r="M34" s="587">
        <v>14742574</v>
      </c>
      <c r="N34" s="583" t="s">
        <v>66</v>
      </c>
      <c r="O34" s="585">
        <v>0</v>
      </c>
      <c r="P34" s="577" t="s">
        <v>67</v>
      </c>
      <c r="Q34" s="577" t="s">
        <v>68</v>
      </c>
      <c r="R34" s="565" t="s">
        <v>612</v>
      </c>
      <c r="S34" s="565">
        <v>3422121</v>
      </c>
      <c r="T34" s="565" t="s">
        <v>613</v>
      </c>
      <c r="U34" s="577" t="s">
        <v>67</v>
      </c>
      <c r="V34" s="577"/>
      <c r="W34" s="565" t="s">
        <v>545</v>
      </c>
      <c r="X34" s="575"/>
      <c r="Y34" s="575"/>
      <c r="Z34" s="575"/>
      <c r="AA34" s="575"/>
      <c r="AB34" s="575"/>
      <c r="AC34" s="575"/>
      <c r="AD34" s="575"/>
      <c r="AE34" s="575"/>
      <c r="AF34" s="575"/>
      <c r="AG34" s="575"/>
      <c r="AH34" s="575"/>
      <c r="AI34" s="575"/>
    </row>
    <row r="35" spans="1:35" ht="24.95" customHeight="1" x14ac:dyDescent="0.2">
      <c r="A35" s="582"/>
      <c r="B35" s="583" t="s">
        <v>471</v>
      </c>
      <c r="C35" s="583" t="s">
        <v>281</v>
      </c>
      <c r="D35" s="583" t="s">
        <v>609</v>
      </c>
      <c r="E35" s="583" t="s">
        <v>614</v>
      </c>
      <c r="F35" s="588" t="s">
        <v>491</v>
      </c>
      <c r="G35" s="588" t="s">
        <v>491</v>
      </c>
      <c r="H35" s="582">
        <v>12</v>
      </c>
      <c r="I35" s="582"/>
      <c r="J35" s="565" t="s">
        <v>83</v>
      </c>
      <c r="K35" s="583" t="s">
        <v>3</v>
      </c>
      <c r="L35" s="584">
        <v>2391147</v>
      </c>
      <c r="M35" s="587">
        <v>2373976</v>
      </c>
      <c r="N35" s="583" t="s">
        <v>66</v>
      </c>
      <c r="O35" s="585">
        <v>0</v>
      </c>
      <c r="P35" s="577" t="s">
        <v>67</v>
      </c>
      <c r="Q35" s="577" t="s">
        <v>68</v>
      </c>
      <c r="R35" s="565" t="s">
        <v>612</v>
      </c>
      <c r="S35" s="565">
        <v>3422121</v>
      </c>
      <c r="T35" s="565" t="s">
        <v>613</v>
      </c>
      <c r="U35" s="577" t="s">
        <v>67</v>
      </c>
      <c r="V35" s="577"/>
      <c r="W35" s="565" t="s">
        <v>545</v>
      </c>
      <c r="X35" s="575"/>
      <c r="Y35" s="575"/>
      <c r="Z35" s="575"/>
      <c r="AA35" s="575"/>
      <c r="AB35" s="575"/>
      <c r="AC35" s="575"/>
      <c r="AD35" s="575"/>
      <c r="AE35" s="575"/>
      <c r="AF35" s="575"/>
      <c r="AG35" s="575"/>
      <c r="AH35" s="575"/>
      <c r="AI35" s="575"/>
    </row>
    <row r="36" spans="1:35" ht="24.95" customHeight="1" x14ac:dyDescent="0.2">
      <c r="A36" s="582"/>
      <c r="B36" s="583" t="s">
        <v>471</v>
      </c>
      <c r="C36" s="583" t="s">
        <v>281</v>
      </c>
      <c r="D36" s="583" t="s">
        <v>609</v>
      </c>
      <c r="E36" s="583" t="s">
        <v>616</v>
      </c>
      <c r="F36" s="588" t="s">
        <v>491</v>
      </c>
      <c r="G36" s="588" t="s">
        <v>491</v>
      </c>
      <c r="H36" s="582">
        <v>12</v>
      </c>
      <c r="I36" s="582"/>
      <c r="J36" s="565" t="s">
        <v>83</v>
      </c>
      <c r="K36" s="583" t="s">
        <v>3</v>
      </c>
      <c r="L36" s="584">
        <v>105000000</v>
      </c>
      <c r="M36" s="587">
        <v>110586566</v>
      </c>
      <c r="N36" s="583" t="s">
        <v>66</v>
      </c>
      <c r="O36" s="585">
        <v>0</v>
      </c>
      <c r="P36" s="577" t="s">
        <v>67</v>
      </c>
      <c r="Q36" s="577" t="s">
        <v>68</v>
      </c>
      <c r="R36" s="565" t="s">
        <v>612</v>
      </c>
      <c r="S36" s="565">
        <v>3422121</v>
      </c>
      <c r="T36" s="565" t="s">
        <v>613</v>
      </c>
      <c r="U36" s="577" t="s">
        <v>67</v>
      </c>
      <c r="V36" s="577"/>
      <c r="W36" s="565" t="s">
        <v>545</v>
      </c>
      <c r="X36" s="575"/>
      <c r="Y36" s="575"/>
      <c r="Z36" s="575"/>
      <c r="AA36" s="575"/>
      <c r="AB36" s="575"/>
      <c r="AC36" s="575"/>
      <c r="AD36" s="575"/>
      <c r="AE36" s="575"/>
      <c r="AF36" s="575"/>
      <c r="AG36" s="575"/>
      <c r="AH36" s="575"/>
      <c r="AI36" s="575"/>
    </row>
    <row r="37" spans="1:35" ht="24.95" customHeight="1" x14ac:dyDescent="0.2">
      <c r="A37" s="582"/>
      <c r="B37" s="583" t="s">
        <v>471</v>
      </c>
      <c r="C37" s="583" t="s">
        <v>281</v>
      </c>
      <c r="D37" s="583" t="s">
        <v>609</v>
      </c>
      <c r="E37" s="583" t="s">
        <v>617</v>
      </c>
      <c r="F37" s="588" t="s">
        <v>491</v>
      </c>
      <c r="G37" s="588" t="s">
        <v>491</v>
      </c>
      <c r="H37" s="582">
        <v>12</v>
      </c>
      <c r="I37" s="582"/>
      <c r="J37" s="565" t="s">
        <v>83</v>
      </c>
      <c r="K37" s="583" t="s">
        <v>3</v>
      </c>
      <c r="L37" s="584">
        <v>2400000</v>
      </c>
      <c r="M37" s="587">
        <v>3850000</v>
      </c>
      <c r="N37" s="583" t="s">
        <v>66</v>
      </c>
      <c r="O37" s="585">
        <v>0</v>
      </c>
      <c r="P37" s="577" t="s">
        <v>67</v>
      </c>
      <c r="Q37" s="577" t="s">
        <v>68</v>
      </c>
      <c r="R37" s="565" t="s">
        <v>612</v>
      </c>
      <c r="S37" s="565">
        <v>3422121</v>
      </c>
      <c r="T37" s="565" t="s">
        <v>613</v>
      </c>
      <c r="U37" s="577" t="s">
        <v>67</v>
      </c>
      <c r="V37" s="577"/>
      <c r="W37" s="565" t="s">
        <v>545</v>
      </c>
      <c r="X37" s="575"/>
      <c r="Y37" s="575"/>
      <c r="Z37" s="575"/>
      <c r="AA37" s="575"/>
      <c r="AB37" s="575"/>
      <c r="AC37" s="575"/>
      <c r="AD37" s="575"/>
      <c r="AE37" s="575"/>
      <c r="AF37" s="575"/>
      <c r="AG37" s="575"/>
      <c r="AH37" s="575"/>
      <c r="AI37" s="575"/>
    </row>
    <row r="38" spans="1:35" ht="24.95" customHeight="1" x14ac:dyDescent="0.2">
      <c r="A38" s="582"/>
      <c r="B38" s="583" t="s">
        <v>471</v>
      </c>
      <c r="C38" s="583" t="s">
        <v>281</v>
      </c>
      <c r="D38" s="583" t="s">
        <v>609</v>
      </c>
      <c r="E38" s="583" t="s">
        <v>618</v>
      </c>
      <c r="F38" s="588" t="s">
        <v>491</v>
      </c>
      <c r="G38" s="588" t="s">
        <v>491</v>
      </c>
      <c r="H38" s="582">
        <v>12</v>
      </c>
      <c r="I38" s="582"/>
      <c r="J38" s="565" t="s">
        <v>83</v>
      </c>
      <c r="K38" s="583" t="s">
        <v>3</v>
      </c>
      <c r="L38" s="584">
        <v>41342439</v>
      </c>
      <c r="M38" s="587">
        <v>48157096</v>
      </c>
      <c r="N38" s="583" t="s">
        <v>66</v>
      </c>
      <c r="O38" s="585">
        <v>0</v>
      </c>
      <c r="P38" s="577" t="s">
        <v>67</v>
      </c>
      <c r="Q38" s="577" t="s">
        <v>68</v>
      </c>
      <c r="R38" s="565" t="s">
        <v>612</v>
      </c>
      <c r="S38" s="565">
        <v>3422121</v>
      </c>
      <c r="T38" s="565" t="s">
        <v>613</v>
      </c>
      <c r="U38" s="577" t="s">
        <v>67</v>
      </c>
      <c r="V38" s="577"/>
      <c r="W38" s="565" t="s">
        <v>545</v>
      </c>
      <c r="X38" s="575"/>
      <c r="Y38" s="575"/>
      <c r="Z38" s="575"/>
      <c r="AA38" s="575"/>
      <c r="AB38" s="575"/>
      <c r="AC38" s="575"/>
      <c r="AD38" s="575"/>
      <c r="AE38" s="575"/>
      <c r="AF38" s="575"/>
      <c r="AG38" s="575"/>
      <c r="AH38" s="575"/>
      <c r="AI38" s="575"/>
    </row>
    <row r="39" spans="1:35" ht="24.95" customHeight="1" x14ac:dyDescent="0.2">
      <c r="A39" s="582">
        <v>20102301</v>
      </c>
      <c r="B39" s="583" t="s">
        <v>471</v>
      </c>
      <c r="C39" s="583" t="s">
        <v>281</v>
      </c>
      <c r="D39" s="583" t="s">
        <v>619</v>
      </c>
      <c r="E39" s="583" t="s">
        <v>620</v>
      </c>
      <c r="F39" s="588" t="s">
        <v>491</v>
      </c>
      <c r="G39" s="588" t="s">
        <v>491</v>
      </c>
      <c r="H39" s="582">
        <v>10</v>
      </c>
      <c r="I39" s="582"/>
      <c r="J39" s="565" t="s">
        <v>318</v>
      </c>
      <c r="K39" s="583" t="s">
        <v>3</v>
      </c>
      <c r="L39" s="584">
        <v>9977800</v>
      </c>
      <c r="M39" s="568"/>
      <c r="N39" s="583" t="s">
        <v>210</v>
      </c>
      <c r="O39" s="585">
        <v>0</v>
      </c>
      <c r="P39" s="577" t="s">
        <v>67</v>
      </c>
      <c r="Q39" s="577" t="s">
        <v>68</v>
      </c>
      <c r="R39" s="565" t="s">
        <v>612</v>
      </c>
      <c r="S39" s="565">
        <v>3422121</v>
      </c>
      <c r="T39" s="565" t="s">
        <v>613</v>
      </c>
      <c r="U39" s="577" t="s">
        <v>67</v>
      </c>
      <c r="V39" s="577"/>
      <c r="W39" s="565" t="s">
        <v>545</v>
      </c>
      <c r="X39" s="575"/>
      <c r="Y39" s="575"/>
      <c r="Z39" s="575"/>
      <c r="AA39" s="575"/>
      <c r="AB39" s="575"/>
      <c r="AC39" s="575"/>
      <c r="AD39" s="575"/>
      <c r="AE39" s="575"/>
      <c r="AF39" s="575"/>
      <c r="AG39" s="575"/>
      <c r="AH39" s="575"/>
      <c r="AI39" s="575"/>
    </row>
    <row r="40" spans="1:35" ht="24.95" customHeight="1" x14ac:dyDescent="0.2">
      <c r="A40" s="582">
        <v>20102301</v>
      </c>
      <c r="B40" s="583" t="s">
        <v>471</v>
      </c>
      <c r="C40" s="583" t="s">
        <v>281</v>
      </c>
      <c r="D40" s="583" t="s">
        <v>619</v>
      </c>
      <c r="E40" s="583" t="s">
        <v>623</v>
      </c>
      <c r="F40" s="588" t="s">
        <v>590</v>
      </c>
      <c r="G40" s="588" t="s">
        <v>590</v>
      </c>
      <c r="H40" s="582">
        <v>10</v>
      </c>
      <c r="I40" s="582"/>
      <c r="J40" s="565" t="s">
        <v>318</v>
      </c>
      <c r="K40" s="565"/>
      <c r="L40" s="584">
        <v>205022200</v>
      </c>
      <c r="M40" s="568">
        <v>74232735</v>
      </c>
      <c r="N40" s="583" t="s">
        <v>210</v>
      </c>
      <c r="O40" s="585">
        <v>0</v>
      </c>
      <c r="P40" s="577" t="s">
        <v>67</v>
      </c>
      <c r="Q40" s="577" t="s">
        <v>68</v>
      </c>
      <c r="R40" s="565" t="s">
        <v>612</v>
      </c>
      <c r="S40" s="565">
        <v>3422121</v>
      </c>
      <c r="T40" s="565" t="s">
        <v>613</v>
      </c>
      <c r="U40" s="577" t="s">
        <v>67</v>
      </c>
      <c r="V40" s="577"/>
      <c r="W40" s="565" t="s">
        <v>545</v>
      </c>
      <c r="X40" s="575"/>
      <c r="Y40" s="575"/>
      <c r="Z40" s="575"/>
      <c r="AA40" s="575"/>
      <c r="AB40" s="575"/>
      <c r="AC40" s="575"/>
      <c r="AD40" s="575"/>
      <c r="AE40" s="575"/>
      <c r="AF40" s="575"/>
      <c r="AG40" s="575"/>
      <c r="AH40" s="575"/>
      <c r="AI40" s="575"/>
    </row>
    <row r="41" spans="1:35" ht="24.95" customHeight="1" x14ac:dyDescent="0.2">
      <c r="A41" s="582"/>
      <c r="B41" s="583" t="s">
        <v>471</v>
      </c>
      <c r="C41" s="583" t="s">
        <v>281</v>
      </c>
      <c r="D41" s="583" t="s">
        <v>609</v>
      </c>
      <c r="E41" s="583" t="s">
        <v>624</v>
      </c>
      <c r="F41" s="588" t="s">
        <v>491</v>
      </c>
      <c r="G41" s="588" t="s">
        <v>491</v>
      </c>
      <c r="H41" s="582">
        <v>12</v>
      </c>
      <c r="I41" s="582"/>
      <c r="J41" s="565" t="s">
        <v>318</v>
      </c>
      <c r="K41" s="583" t="s">
        <v>3</v>
      </c>
      <c r="L41" s="584">
        <v>28092574</v>
      </c>
      <c r="M41" s="568"/>
      <c r="N41" s="583" t="s">
        <v>210</v>
      </c>
      <c r="O41" s="585">
        <v>0</v>
      </c>
      <c r="P41" s="577" t="s">
        <v>67</v>
      </c>
      <c r="Q41" s="577" t="s">
        <v>68</v>
      </c>
      <c r="R41" s="565" t="s">
        <v>612</v>
      </c>
      <c r="S41" s="565">
        <v>3422121</v>
      </c>
      <c r="T41" s="565" t="s">
        <v>613</v>
      </c>
      <c r="U41" s="577" t="s">
        <v>67</v>
      </c>
      <c r="V41" s="577"/>
      <c r="W41" s="565" t="s">
        <v>545</v>
      </c>
      <c r="X41" s="575"/>
      <c r="Y41" s="575"/>
      <c r="Z41" s="575"/>
      <c r="AA41" s="575"/>
      <c r="AB41" s="575"/>
      <c r="AC41" s="575"/>
      <c r="AD41" s="575"/>
      <c r="AE41" s="575"/>
      <c r="AF41" s="575"/>
      <c r="AG41" s="575"/>
      <c r="AH41" s="575"/>
      <c r="AI41" s="575"/>
    </row>
    <row r="42" spans="1:35" ht="24.95" customHeight="1" x14ac:dyDescent="0.2">
      <c r="A42" s="582"/>
      <c r="B42" s="583" t="s">
        <v>471</v>
      </c>
      <c r="C42" s="583" t="s">
        <v>281</v>
      </c>
      <c r="D42" s="583" t="s">
        <v>609</v>
      </c>
      <c r="E42" s="583" t="s">
        <v>625</v>
      </c>
      <c r="F42" s="588" t="s">
        <v>567</v>
      </c>
      <c r="G42" s="588" t="s">
        <v>567</v>
      </c>
      <c r="H42" s="582">
        <v>12</v>
      </c>
      <c r="I42" s="582"/>
      <c r="J42" s="565" t="s">
        <v>318</v>
      </c>
      <c r="K42" s="565"/>
      <c r="L42" s="584">
        <v>140188999</v>
      </c>
      <c r="M42" s="568">
        <v>168281572.66</v>
      </c>
      <c r="N42" s="583" t="s">
        <v>210</v>
      </c>
      <c r="O42" s="585">
        <v>0</v>
      </c>
      <c r="P42" s="577" t="s">
        <v>67</v>
      </c>
      <c r="Q42" s="577" t="s">
        <v>68</v>
      </c>
      <c r="R42" s="565" t="s">
        <v>612</v>
      </c>
      <c r="S42" s="565">
        <v>3422121</v>
      </c>
      <c r="T42" s="565" t="s">
        <v>613</v>
      </c>
      <c r="U42" s="577" t="s">
        <v>67</v>
      </c>
      <c r="V42" s="577"/>
      <c r="W42" s="565" t="s">
        <v>545</v>
      </c>
      <c r="X42" s="575"/>
      <c r="Y42" s="575"/>
      <c r="Z42" s="575"/>
      <c r="AA42" s="575"/>
      <c r="AB42" s="575"/>
      <c r="AC42" s="575"/>
      <c r="AD42" s="575"/>
      <c r="AE42" s="575"/>
      <c r="AF42" s="575"/>
      <c r="AG42" s="575"/>
      <c r="AH42" s="575"/>
      <c r="AI42" s="575"/>
    </row>
    <row r="43" spans="1:35" ht="24.95" customHeight="1" x14ac:dyDescent="0.2">
      <c r="A43" s="582"/>
      <c r="B43" s="583" t="s">
        <v>471</v>
      </c>
      <c r="C43" s="583" t="s">
        <v>281</v>
      </c>
      <c r="D43" s="583" t="s">
        <v>609</v>
      </c>
      <c r="E43" s="583" t="s">
        <v>626</v>
      </c>
      <c r="F43" s="588" t="s">
        <v>491</v>
      </c>
      <c r="G43" s="588" t="s">
        <v>491</v>
      </c>
      <c r="H43" s="582">
        <v>8</v>
      </c>
      <c r="I43" s="582"/>
      <c r="J43" s="565" t="s">
        <v>627</v>
      </c>
      <c r="K43" s="583" t="s">
        <v>3</v>
      </c>
      <c r="L43" s="584">
        <f>162823401-18709799</f>
        <v>144113602</v>
      </c>
      <c r="M43" s="568">
        <f>90193402+14248048</f>
        <v>104441450</v>
      </c>
      <c r="N43" s="583" t="s">
        <v>66</v>
      </c>
      <c r="O43" s="585">
        <v>0</v>
      </c>
      <c r="P43" s="577" t="s">
        <v>67</v>
      </c>
      <c r="Q43" s="577" t="s">
        <v>68</v>
      </c>
      <c r="R43" s="565" t="s">
        <v>612</v>
      </c>
      <c r="S43" s="565">
        <v>3422121</v>
      </c>
      <c r="T43" s="565" t="s">
        <v>613</v>
      </c>
      <c r="U43" s="577" t="s">
        <v>67</v>
      </c>
      <c r="V43" s="577"/>
      <c r="W43" s="565" t="s">
        <v>545</v>
      </c>
      <c r="X43" s="575"/>
      <c r="Y43" s="575"/>
      <c r="Z43" s="575"/>
      <c r="AA43" s="575"/>
      <c r="AB43" s="575"/>
      <c r="AC43" s="575"/>
      <c r="AD43" s="575"/>
      <c r="AE43" s="575"/>
      <c r="AF43" s="575"/>
      <c r="AG43" s="575"/>
      <c r="AH43" s="575"/>
      <c r="AI43" s="575"/>
    </row>
    <row r="44" spans="1:35" ht="24.95" customHeight="1" x14ac:dyDescent="0.2">
      <c r="A44" s="582"/>
      <c r="B44" s="583" t="s">
        <v>471</v>
      </c>
      <c r="C44" s="583" t="s">
        <v>281</v>
      </c>
      <c r="D44" s="583" t="s">
        <v>609</v>
      </c>
      <c r="E44" s="583" t="s">
        <v>631</v>
      </c>
      <c r="F44" s="588" t="s">
        <v>491</v>
      </c>
      <c r="G44" s="588" t="s">
        <v>491</v>
      </c>
      <c r="H44" s="582">
        <v>6</v>
      </c>
      <c r="I44" s="582"/>
      <c r="J44" s="565" t="s">
        <v>154</v>
      </c>
      <c r="K44" s="565"/>
      <c r="L44" s="584">
        <v>6500000</v>
      </c>
      <c r="M44" s="568">
        <v>6500000</v>
      </c>
      <c r="N44" s="583" t="s">
        <v>66</v>
      </c>
      <c r="O44" s="585">
        <v>0</v>
      </c>
      <c r="P44" s="577" t="s">
        <v>67</v>
      </c>
      <c r="Q44" s="577" t="s">
        <v>68</v>
      </c>
      <c r="R44" s="565" t="s">
        <v>612</v>
      </c>
      <c r="S44" s="565">
        <v>3422121</v>
      </c>
      <c r="T44" s="565" t="s">
        <v>613</v>
      </c>
      <c r="U44" s="577" t="s">
        <v>67</v>
      </c>
      <c r="V44" s="577"/>
      <c r="W44" s="565" t="s">
        <v>545</v>
      </c>
      <c r="X44" s="575"/>
      <c r="Y44" s="575"/>
      <c r="Z44" s="575"/>
      <c r="AA44" s="575"/>
      <c r="AB44" s="575"/>
      <c r="AC44" s="575"/>
      <c r="AD44" s="575"/>
      <c r="AE44" s="575"/>
      <c r="AF44" s="575"/>
      <c r="AG44" s="575"/>
      <c r="AH44" s="575"/>
      <c r="AI44" s="575"/>
    </row>
    <row r="45" spans="1:35" ht="24.95" customHeight="1" x14ac:dyDescent="0.2">
      <c r="A45" s="582"/>
      <c r="B45" s="583" t="s">
        <v>471</v>
      </c>
      <c r="C45" s="583" t="s">
        <v>281</v>
      </c>
      <c r="D45" s="583" t="s">
        <v>609</v>
      </c>
      <c r="E45" s="583" t="s">
        <v>633</v>
      </c>
      <c r="F45" s="588" t="s">
        <v>491</v>
      </c>
      <c r="G45" s="588" t="s">
        <v>491</v>
      </c>
      <c r="H45" s="582">
        <v>8</v>
      </c>
      <c r="I45" s="582"/>
      <c r="J45" s="565" t="s">
        <v>627</v>
      </c>
      <c r="K45" s="583" t="s">
        <v>3</v>
      </c>
      <c r="L45" s="584">
        <v>157112832</v>
      </c>
      <c r="M45" s="568"/>
      <c r="N45" s="583" t="s">
        <v>66</v>
      </c>
      <c r="O45" s="585">
        <v>0</v>
      </c>
      <c r="P45" s="577" t="s">
        <v>67</v>
      </c>
      <c r="Q45" s="577" t="s">
        <v>68</v>
      </c>
      <c r="R45" s="565" t="s">
        <v>634</v>
      </c>
      <c r="S45" s="565">
        <v>3422121</v>
      </c>
      <c r="T45" s="565" t="s">
        <v>613</v>
      </c>
      <c r="U45" s="577" t="s">
        <v>67</v>
      </c>
      <c r="V45" s="577"/>
      <c r="W45" s="565" t="s">
        <v>545</v>
      </c>
      <c r="X45" s="575"/>
      <c r="Y45" s="575"/>
      <c r="Z45" s="575"/>
      <c r="AA45" s="575"/>
      <c r="AB45" s="575"/>
      <c r="AC45" s="575"/>
      <c r="AD45" s="575"/>
      <c r="AE45" s="575"/>
      <c r="AF45" s="575"/>
      <c r="AG45" s="575"/>
      <c r="AH45" s="575"/>
      <c r="AI45" s="575"/>
    </row>
    <row r="46" spans="1:35" ht="24.95" customHeight="1" x14ac:dyDescent="0.2">
      <c r="A46" s="582"/>
      <c r="B46" s="583" t="s">
        <v>471</v>
      </c>
      <c r="C46" s="583" t="s">
        <v>281</v>
      </c>
      <c r="D46" s="583" t="s">
        <v>609</v>
      </c>
      <c r="E46" s="583" t="s">
        <v>636</v>
      </c>
      <c r="F46" s="588" t="s">
        <v>578</v>
      </c>
      <c r="G46" s="588" t="s">
        <v>578</v>
      </c>
      <c r="H46" s="582">
        <v>8</v>
      </c>
      <c r="I46" s="582"/>
      <c r="J46" s="565" t="s">
        <v>627</v>
      </c>
      <c r="K46" s="565"/>
      <c r="L46" s="584">
        <v>362235899</v>
      </c>
      <c r="M46" s="568">
        <v>470987557</v>
      </c>
      <c r="N46" s="583" t="s">
        <v>66</v>
      </c>
      <c r="O46" s="585">
        <v>0</v>
      </c>
      <c r="P46" s="577" t="s">
        <v>67</v>
      </c>
      <c r="Q46" s="577" t="s">
        <v>68</v>
      </c>
      <c r="R46" s="565" t="s">
        <v>634</v>
      </c>
      <c r="S46" s="565">
        <v>3422121</v>
      </c>
      <c r="T46" s="565" t="s">
        <v>613</v>
      </c>
      <c r="U46" s="577" t="s">
        <v>67</v>
      </c>
      <c r="V46" s="577"/>
      <c r="W46" s="565" t="s">
        <v>545</v>
      </c>
      <c r="X46" s="575"/>
      <c r="Y46" s="575"/>
      <c r="Z46" s="575"/>
      <c r="AA46" s="575"/>
      <c r="AB46" s="575"/>
      <c r="AC46" s="575"/>
      <c r="AD46" s="575"/>
      <c r="AE46" s="575"/>
      <c r="AF46" s="575"/>
      <c r="AG46" s="575"/>
      <c r="AH46" s="575"/>
      <c r="AI46" s="575"/>
    </row>
    <row r="47" spans="1:35" ht="24.95" customHeight="1" x14ac:dyDescent="0.2">
      <c r="A47" s="582">
        <v>80111617</v>
      </c>
      <c r="B47" s="583" t="s">
        <v>471</v>
      </c>
      <c r="C47" s="583" t="s">
        <v>281</v>
      </c>
      <c r="D47" s="583" t="s">
        <v>609</v>
      </c>
      <c r="E47" s="583" t="s">
        <v>735</v>
      </c>
      <c r="F47" s="588" t="s">
        <v>491</v>
      </c>
      <c r="G47" s="588" t="s">
        <v>491</v>
      </c>
      <c r="H47" s="582">
        <v>11</v>
      </c>
      <c r="I47" s="582"/>
      <c r="J47" s="565" t="s">
        <v>83</v>
      </c>
      <c r="K47" s="565"/>
      <c r="L47" s="584">
        <v>63717654</v>
      </c>
      <c r="M47" s="568">
        <v>63717654</v>
      </c>
      <c r="N47" s="583" t="s">
        <v>66</v>
      </c>
      <c r="O47" s="585">
        <v>0</v>
      </c>
      <c r="P47" s="577" t="s">
        <v>67</v>
      </c>
      <c r="Q47" s="577" t="s">
        <v>68</v>
      </c>
      <c r="R47" s="565" t="s">
        <v>612</v>
      </c>
      <c r="S47" s="565">
        <v>3422121</v>
      </c>
      <c r="T47" s="565" t="s">
        <v>613</v>
      </c>
      <c r="U47" s="577" t="s">
        <v>67</v>
      </c>
      <c r="V47" s="577"/>
      <c r="W47" s="565" t="s">
        <v>545</v>
      </c>
      <c r="X47" s="575"/>
      <c r="Y47" s="575"/>
      <c r="Z47" s="575"/>
      <c r="AA47" s="575"/>
      <c r="AB47" s="575"/>
      <c r="AC47" s="575"/>
      <c r="AD47" s="575"/>
      <c r="AE47" s="575"/>
      <c r="AF47" s="575"/>
      <c r="AG47" s="575"/>
      <c r="AH47" s="575"/>
      <c r="AI47" s="575"/>
    </row>
    <row r="48" spans="1:35" ht="24.95" customHeight="1" x14ac:dyDescent="0.2">
      <c r="A48" s="582"/>
      <c r="B48" s="583" t="s">
        <v>471</v>
      </c>
      <c r="C48" s="583" t="s">
        <v>281</v>
      </c>
      <c r="D48" s="583" t="s">
        <v>609</v>
      </c>
      <c r="E48" s="583" t="s">
        <v>639</v>
      </c>
      <c r="F48" s="588" t="s">
        <v>581</v>
      </c>
      <c r="G48" s="588" t="s">
        <v>581</v>
      </c>
      <c r="H48" s="582">
        <v>2</v>
      </c>
      <c r="I48" s="582"/>
      <c r="J48" s="565" t="s">
        <v>151</v>
      </c>
      <c r="K48" s="565"/>
      <c r="L48" s="584">
        <v>35000000</v>
      </c>
      <c r="M48" s="568">
        <v>35000000</v>
      </c>
      <c r="N48" s="583" t="s">
        <v>66</v>
      </c>
      <c r="O48" s="585">
        <v>0</v>
      </c>
      <c r="P48" s="577" t="s">
        <v>67</v>
      </c>
      <c r="Q48" s="577" t="s">
        <v>68</v>
      </c>
      <c r="R48" s="565" t="s">
        <v>612</v>
      </c>
      <c r="S48" s="565">
        <v>3422121</v>
      </c>
      <c r="T48" s="565" t="s">
        <v>613</v>
      </c>
      <c r="U48" s="577" t="s">
        <v>67</v>
      </c>
      <c r="V48" s="577"/>
      <c r="W48" s="565" t="s">
        <v>545</v>
      </c>
      <c r="X48" s="575"/>
      <c r="Y48" s="575"/>
      <c r="Z48" s="575"/>
      <c r="AA48" s="575"/>
      <c r="AB48" s="575"/>
      <c r="AC48" s="575"/>
      <c r="AD48" s="575"/>
      <c r="AE48" s="575"/>
      <c r="AF48" s="575"/>
      <c r="AG48" s="575"/>
      <c r="AH48" s="575"/>
      <c r="AI48" s="575"/>
    </row>
    <row r="49" spans="1:35" ht="24.95" customHeight="1" x14ac:dyDescent="0.2">
      <c r="A49" s="582"/>
      <c r="B49" s="583" t="s">
        <v>471</v>
      </c>
      <c r="C49" s="583" t="s">
        <v>281</v>
      </c>
      <c r="D49" s="583" t="s">
        <v>642</v>
      </c>
      <c r="E49" s="583" t="s">
        <v>643</v>
      </c>
      <c r="F49" s="588" t="s">
        <v>563</v>
      </c>
      <c r="G49" s="588" t="s">
        <v>563</v>
      </c>
      <c r="H49" s="582">
        <v>5</v>
      </c>
      <c r="I49" s="582"/>
      <c r="J49" s="565" t="s">
        <v>151</v>
      </c>
      <c r="K49" s="565"/>
      <c r="L49" s="584">
        <v>170000000</v>
      </c>
      <c r="M49" s="587">
        <v>126336434</v>
      </c>
      <c r="N49" s="583" t="s">
        <v>66</v>
      </c>
      <c r="O49" s="585">
        <v>0</v>
      </c>
      <c r="P49" s="577" t="s">
        <v>67</v>
      </c>
      <c r="Q49" s="577" t="s">
        <v>68</v>
      </c>
      <c r="R49" s="565" t="s">
        <v>612</v>
      </c>
      <c r="S49" s="565">
        <v>3422121</v>
      </c>
      <c r="T49" s="565" t="s">
        <v>613</v>
      </c>
      <c r="U49" s="577" t="s">
        <v>67</v>
      </c>
      <c r="V49" s="577"/>
      <c r="W49" s="565" t="s">
        <v>545</v>
      </c>
      <c r="X49" s="575"/>
      <c r="Y49" s="575"/>
      <c r="Z49" s="575"/>
      <c r="AA49" s="575"/>
      <c r="AB49" s="575"/>
      <c r="AC49" s="575"/>
      <c r="AD49" s="575"/>
      <c r="AE49" s="575"/>
      <c r="AF49" s="575"/>
      <c r="AG49" s="575"/>
      <c r="AH49" s="575"/>
      <c r="AI49" s="575"/>
    </row>
    <row r="50" spans="1:35" ht="24.95" customHeight="1" x14ac:dyDescent="0.2">
      <c r="A50" s="582">
        <v>31162800</v>
      </c>
      <c r="B50" s="583" t="s">
        <v>471</v>
      </c>
      <c r="C50" s="583" t="s">
        <v>281</v>
      </c>
      <c r="D50" s="583" t="s">
        <v>609</v>
      </c>
      <c r="E50" s="583" t="s">
        <v>646</v>
      </c>
      <c r="F50" s="588" t="s">
        <v>570</v>
      </c>
      <c r="G50" s="588" t="s">
        <v>570</v>
      </c>
      <c r="H50" s="582">
        <v>1</v>
      </c>
      <c r="I50" s="582">
        <v>15</v>
      </c>
      <c r="J50" s="565" t="s">
        <v>154</v>
      </c>
      <c r="K50" s="588"/>
      <c r="L50" s="584">
        <v>7500000</v>
      </c>
      <c r="M50" s="568">
        <v>7500000</v>
      </c>
      <c r="N50" s="583" t="s">
        <v>66</v>
      </c>
      <c r="O50" s="585">
        <v>0</v>
      </c>
      <c r="P50" s="577" t="s">
        <v>67</v>
      </c>
      <c r="Q50" s="577" t="s">
        <v>68</v>
      </c>
      <c r="R50" s="565" t="s">
        <v>634</v>
      </c>
      <c r="S50" s="565">
        <v>3422121</v>
      </c>
      <c r="T50" s="565" t="s">
        <v>613</v>
      </c>
      <c r="U50" s="577" t="s">
        <v>67</v>
      </c>
      <c r="V50" s="577"/>
      <c r="W50" s="565" t="s">
        <v>545</v>
      </c>
      <c r="X50" s="575"/>
      <c r="Y50" s="575"/>
      <c r="Z50" s="575"/>
      <c r="AA50" s="575"/>
      <c r="AB50" s="575"/>
      <c r="AC50" s="575"/>
      <c r="AD50" s="575"/>
      <c r="AE50" s="575"/>
      <c r="AF50" s="575"/>
      <c r="AG50" s="575"/>
      <c r="AH50" s="575"/>
      <c r="AI50" s="575"/>
    </row>
    <row r="51" spans="1:35" ht="24.95" customHeight="1" x14ac:dyDescent="0.2">
      <c r="A51" s="582">
        <v>84131501</v>
      </c>
      <c r="B51" s="583" t="s">
        <v>471</v>
      </c>
      <c r="C51" s="583" t="s">
        <v>281</v>
      </c>
      <c r="D51" s="583" t="s">
        <v>609</v>
      </c>
      <c r="E51" s="583" t="s">
        <v>648</v>
      </c>
      <c r="F51" s="588" t="s">
        <v>578</v>
      </c>
      <c r="G51" s="588" t="s">
        <v>578</v>
      </c>
      <c r="H51" s="582">
        <v>1</v>
      </c>
      <c r="I51" s="582"/>
      <c r="J51" s="565" t="s">
        <v>154</v>
      </c>
      <c r="K51" s="565"/>
      <c r="L51" s="584">
        <v>2000000</v>
      </c>
      <c r="M51" s="568">
        <v>0</v>
      </c>
      <c r="N51" s="583" t="s">
        <v>66</v>
      </c>
      <c r="O51" s="585">
        <v>0</v>
      </c>
      <c r="P51" s="577" t="s">
        <v>67</v>
      </c>
      <c r="Q51" s="577" t="s">
        <v>68</v>
      </c>
      <c r="R51" s="565" t="s">
        <v>612</v>
      </c>
      <c r="S51" s="565">
        <v>3422121</v>
      </c>
      <c r="T51" s="565" t="s">
        <v>613</v>
      </c>
      <c r="U51" s="577" t="s">
        <v>67</v>
      </c>
      <c r="V51" s="577"/>
      <c r="W51" s="565" t="s">
        <v>545</v>
      </c>
      <c r="X51" s="575"/>
      <c r="Y51" s="575"/>
      <c r="Z51" s="575"/>
      <c r="AA51" s="575"/>
      <c r="AB51" s="575"/>
      <c r="AC51" s="575"/>
      <c r="AD51" s="575"/>
      <c r="AE51" s="575"/>
      <c r="AF51" s="575"/>
      <c r="AG51" s="575"/>
      <c r="AH51" s="575"/>
      <c r="AI51" s="575"/>
    </row>
    <row r="52" spans="1:35" ht="24.95" customHeight="1" x14ac:dyDescent="0.2">
      <c r="A52" s="582"/>
      <c r="B52" s="583" t="s">
        <v>471</v>
      </c>
      <c r="C52" s="583" t="s">
        <v>281</v>
      </c>
      <c r="D52" s="583" t="s">
        <v>609</v>
      </c>
      <c r="E52" s="583" t="s">
        <v>650</v>
      </c>
      <c r="F52" s="588" t="s">
        <v>563</v>
      </c>
      <c r="G52" s="588" t="s">
        <v>563</v>
      </c>
      <c r="H52" s="582">
        <v>2</v>
      </c>
      <c r="I52" s="582">
        <v>15</v>
      </c>
      <c r="J52" s="565" t="s">
        <v>151</v>
      </c>
      <c r="K52" s="565"/>
      <c r="L52" s="584">
        <v>35500000</v>
      </c>
      <c r="M52" s="568">
        <v>0</v>
      </c>
      <c r="N52" s="583" t="s">
        <v>66</v>
      </c>
      <c r="O52" s="585">
        <v>0</v>
      </c>
      <c r="P52" s="577" t="s">
        <v>67</v>
      </c>
      <c r="Q52" s="577" t="s">
        <v>68</v>
      </c>
      <c r="R52" s="565" t="s">
        <v>612</v>
      </c>
      <c r="S52" s="565">
        <v>3422121</v>
      </c>
      <c r="T52" s="565" t="s">
        <v>613</v>
      </c>
      <c r="U52" s="577" t="s">
        <v>67</v>
      </c>
      <c r="V52" s="577"/>
      <c r="W52" s="565" t="s">
        <v>545</v>
      </c>
      <c r="X52" s="575"/>
      <c r="Y52" s="575"/>
      <c r="Z52" s="575"/>
      <c r="AA52" s="575"/>
      <c r="AB52" s="575"/>
      <c r="AC52" s="575"/>
      <c r="AD52" s="575"/>
      <c r="AE52" s="575"/>
      <c r="AF52" s="575"/>
      <c r="AG52" s="575"/>
      <c r="AH52" s="575"/>
      <c r="AI52" s="575"/>
    </row>
    <row r="53" spans="1:35" ht="24.95" customHeight="1" x14ac:dyDescent="0.2">
      <c r="A53" s="582"/>
      <c r="B53" s="583" t="s">
        <v>471</v>
      </c>
      <c r="C53" s="583" t="s">
        <v>281</v>
      </c>
      <c r="D53" s="583" t="s">
        <v>642</v>
      </c>
      <c r="E53" s="583"/>
      <c r="F53" s="588" t="s">
        <v>567</v>
      </c>
      <c r="G53" s="588" t="s">
        <v>567</v>
      </c>
      <c r="H53" s="582">
        <v>9</v>
      </c>
      <c r="I53" s="582"/>
      <c r="J53" s="565" t="s">
        <v>154</v>
      </c>
      <c r="K53" s="565"/>
      <c r="L53" s="584">
        <v>2200000</v>
      </c>
      <c r="M53" s="568">
        <v>2200000</v>
      </c>
      <c r="N53" s="583" t="s">
        <v>66</v>
      </c>
      <c r="O53" s="585">
        <v>0</v>
      </c>
      <c r="P53" s="577" t="s">
        <v>67</v>
      </c>
      <c r="Q53" s="577" t="s">
        <v>68</v>
      </c>
      <c r="R53" s="565" t="s">
        <v>612</v>
      </c>
      <c r="S53" s="565">
        <v>3422121</v>
      </c>
      <c r="T53" s="565" t="s">
        <v>613</v>
      </c>
      <c r="U53" s="577" t="s">
        <v>67</v>
      </c>
      <c r="V53" s="577"/>
      <c r="W53" s="565" t="s">
        <v>545</v>
      </c>
      <c r="X53" s="575"/>
      <c r="Y53" s="575"/>
      <c r="Z53" s="575"/>
      <c r="AA53" s="575"/>
      <c r="AB53" s="575"/>
      <c r="AC53" s="575"/>
      <c r="AD53" s="575"/>
      <c r="AE53" s="575"/>
      <c r="AF53" s="575"/>
      <c r="AG53" s="575"/>
      <c r="AH53" s="575"/>
      <c r="AI53" s="575"/>
    </row>
    <row r="54" spans="1:35" ht="24.95" customHeight="1" x14ac:dyDescent="0.2">
      <c r="A54" s="582"/>
      <c r="B54" s="583" t="s">
        <v>471</v>
      </c>
      <c r="C54" s="583" t="s">
        <v>281</v>
      </c>
      <c r="D54" s="583" t="s">
        <v>642</v>
      </c>
      <c r="E54" s="583" t="s">
        <v>653</v>
      </c>
      <c r="F54" s="588" t="s">
        <v>570</v>
      </c>
      <c r="G54" s="588" t="s">
        <v>570</v>
      </c>
      <c r="H54" s="582">
        <v>3</v>
      </c>
      <c r="I54" s="582"/>
      <c r="J54" s="565" t="s">
        <v>154</v>
      </c>
      <c r="K54" s="565"/>
      <c r="L54" s="584">
        <v>10000000</v>
      </c>
      <c r="M54" s="568">
        <v>10000000</v>
      </c>
      <c r="N54" s="583" t="s">
        <v>66</v>
      </c>
      <c r="O54" s="585">
        <v>0</v>
      </c>
      <c r="P54" s="577" t="s">
        <v>67</v>
      </c>
      <c r="Q54" s="577" t="s">
        <v>68</v>
      </c>
      <c r="R54" s="565" t="s">
        <v>612</v>
      </c>
      <c r="S54" s="565">
        <v>3422121</v>
      </c>
      <c r="T54" s="565" t="s">
        <v>613</v>
      </c>
      <c r="U54" s="577" t="s">
        <v>67</v>
      </c>
      <c r="V54" s="577"/>
      <c r="W54" s="565" t="s">
        <v>545</v>
      </c>
      <c r="X54" s="575"/>
      <c r="Y54" s="575"/>
      <c r="Z54" s="575"/>
      <c r="AA54" s="575"/>
      <c r="AB54" s="575"/>
      <c r="AC54" s="575"/>
      <c r="AD54" s="575"/>
      <c r="AE54" s="575"/>
      <c r="AF54" s="575"/>
      <c r="AG54" s="575"/>
      <c r="AH54" s="575"/>
      <c r="AI54" s="575"/>
    </row>
    <row r="55" spans="1:35" ht="24.95" customHeight="1" x14ac:dyDescent="0.2">
      <c r="A55" s="582"/>
      <c r="B55" s="583" t="s">
        <v>471</v>
      </c>
      <c r="C55" s="583" t="s">
        <v>281</v>
      </c>
      <c r="D55" s="583" t="s">
        <v>609</v>
      </c>
      <c r="E55" s="583" t="s">
        <v>654</v>
      </c>
      <c r="F55" s="588" t="s">
        <v>563</v>
      </c>
      <c r="G55" s="588" t="s">
        <v>563</v>
      </c>
      <c r="H55" s="582">
        <v>6</v>
      </c>
      <c r="I55" s="582"/>
      <c r="J55" s="565" t="s">
        <v>151</v>
      </c>
      <c r="K55" s="565"/>
      <c r="L55" s="584">
        <v>38000000</v>
      </c>
      <c r="M55" s="568">
        <v>0</v>
      </c>
      <c r="N55" s="583" t="s">
        <v>66</v>
      </c>
      <c r="O55" s="585">
        <v>0</v>
      </c>
      <c r="P55" s="577" t="s">
        <v>67</v>
      </c>
      <c r="Q55" s="577" t="s">
        <v>68</v>
      </c>
      <c r="R55" s="565" t="s">
        <v>612</v>
      </c>
      <c r="S55" s="565">
        <v>3422121</v>
      </c>
      <c r="T55" s="565" t="s">
        <v>613</v>
      </c>
      <c r="U55" s="577" t="s">
        <v>67</v>
      </c>
      <c r="V55" s="577"/>
      <c r="W55" s="565" t="s">
        <v>545</v>
      </c>
      <c r="X55" s="575"/>
      <c r="Y55" s="575"/>
      <c r="Z55" s="575"/>
      <c r="AA55" s="575"/>
      <c r="AB55" s="575"/>
      <c r="AC55" s="575"/>
      <c r="AD55" s="575"/>
      <c r="AE55" s="575"/>
      <c r="AF55" s="575"/>
      <c r="AG55" s="575"/>
      <c r="AH55" s="575"/>
      <c r="AI55" s="575"/>
    </row>
    <row r="56" spans="1:35" ht="24.95" customHeight="1" x14ac:dyDescent="0.2">
      <c r="A56" s="582">
        <v>78181505</v>
      </c>
      <c r="B56" s="583" t="s">
        <v>471</v>
      </c>
      <c r="C56" s="583" t="s">
        <v>281</v>
      </c>
      <c r="D56" s="583" t="s">
        <v>609</v>
      </c>
      <c r="E56" s="583" t="s">
        <v>656</v>
      </c>
      <c r="F56" s="588" t="s">
        <v>570</v>
      </c>
      <c r="G56" s="588" t="s">
        <v>570</v>
      </c>
      <c r="H56" s="582">
        <v>1</v>
      </c>
      <c r="I56" s="582">
        <v>15</v>
      </c>
      <c r="J56" s="565" t="s">
        <v>154</v>
      </c>
      <c r="K56" s="565"/>
      <c r="L56" s="584">
        <v>8000000</v>
      </c>
      <c r="M56" s="568">
        <v>10300000</v>
      </c>
      <c r="N56" s="583" t="s">
        <v>66</v>
      </c>
      <c r="O56" s="585">
        <v>0</v>
      </c>
      <c r="P56" s="577" t="s">
        <v>67</v>
      </c>
      <c r="Q56" s="577" t="s">
        <v>68</v>
      </c>
      <c r="R56" s="565" t="s">
        <v>657</v>
      </c>
      <c r="S56" s="565">
        <v>3422121</v>
      </c>
      <c r="T56" s="565" t="s">
        <v>613</v>
      </c>
      <c r="U56" s="577" t="s">
        <v>67</v>
      </c>
      <c r="V56" s="577"/>
      <c r="W56" s="565" t="s">
        <v>545</v>
      </c>
      <c r="X56" s="575"/>
      <c r="Y56" s="575"/>
      <c r="Z56" s="575"/>
      <c r="AA56" s="575"/>
      <c r="AB56" s="575"/>
      <c r="AC56" s="575"/>
      <c r="AD56" s="575"/>
      <c r="AE56" s="575"/>
      <c r="AF56" s="575"/>
      <c r="AG56" s="575"/>
      <c r="AH56" s="575"/>
      <c r="AI56" s="575"/>
    </row>
    <row r="57" spans="1:35" ht="24.95" customHeight="1" x14ac:dyDescent="0.2">
      <c r="A57" s="582"/>
      <c r="B57" s="583" t="s">
        <v>471</v>
      </c>
      <c r="C57" s="583" t="s">
        <v>281</v>
      </c>
      <c r="D57" s="583" t="s">
        <v>642</v>
      </c>
      <c r="E57" s="583" t="s">
        <v>658</v>
      </c>
      <c r="F57" s="588" t="s">
        <v>581</v>
      </c>
      <c r="G57" s="588" t="s">
        <v>581</v>
      </c>
      <c r="H57" s="582">
        <v>2</v>
      </c>
      <c r="I57" s="582"/>
      <c r="J57" s="565" t="s">
        <v>154</v>
      </c>
      <c r="K57" s="565"/>
      <c r="L57" s="584">
        <v>3126080</v>
      </c>
      <c r="M57" s="568">
        <v>3126000</v>
      </c>
      <c r="N57" s="583" t="s">
        <v>66</v>
      </c>
      <c r="O57" s="585">
        <v>0</v>
      </c>
      <c r="P57" s="577" t="s">
        <v>67</v>
      </c>
      <c r="Q57" s="577" t="s">
        <v>68</v>
      </c>
      <c r="R57" s="565" t="s">
        <v>612</v>
      </c>
      <c r="S57" s="565">
        <v>3422121</v>
      </c>
      <c r="T57" s="565" t="s">
        <v>613</v>
      </c>
      <c r="U57" s="577" t="s">
        <v>67</v>
      </c>
      <c r="V57" s="577"/>
      <c r="W57" s="565" t="s">
        <v>545</v>
      </c>
      <c r="X57" s="575"/>
      <c r="Y57" s="575"/>
      <c r="Z57" s="575"/>
      <c r="AA57" s="575"/>
      <c r="AB57" s="575"/>
      <c r="AC57" s="575"/>
      <c r="AD57" s="575"/>
      <c r="AE57" s="575"/>
      <c r="AF57" s="575"/>
      <c r="AG57" s="575"/>
      <c r="AH57" s="575"/>
      <c r="AI57" s="575"/>
    </row>
    <row r="58" spans="1:35" ht="24.95" customHeight="1" x14ac:dyDescent="0.2">
      <c r="A58" s="582"/>
      <c r="B58" s="583" t="s">
        <v>471</v>
      </c>
      <c r="C58" s="583" t="s">
        <v>281</v>
      </c>
      <c r="D58" s="583" t="s">
        <v>609</v>
      </c>
      <c r="E58" s="583" t="s">
        <v>659</v>
      </c>
      <c r="F58" s="588" t="s">
        <v>736</v>
      </c>
      <c r="G58" s="588" t="s">
        <v>736</v>
      </c>
      <c r="H58" s="582">
        <v>1</v>
      </c>
      <c r="I58" s="582">
        <v>15</v>
      </c>
      <c r="J58" s="565" t="s">
        <v>83</v>
      </c>
      <c r="K58" s="565"/>
      <c r="L58" s="584">
        <v>4850000</v>
      </c>
      <c r="M58" s="568">
        <v>4850000</v>
      </c>
      <c r="N58" s="583" t="s">
        <v>66</v>
      </c>
      <c r="O58" s="585">
        <v>0</v>
      </c>
      <c r="P58" s="577" t="s">
        <v>67</v>
      </c>
      <c r="Q58" s="577" t="s">
        <v>68</v>
      </c>
      <c r="R58" s="565" t="s">
        <v>612</v>
      </c>
      <c r="S58" s="565">
        <v>3422121</v>
      </c>
      <c r="T58" s="565" t="s">
        <v>613</v>
      </c>
      <c r="U58" s="577" t="s">
        <v>67</v>
      </c>
      <c r="V58" s="577"/>
      <c r="W58" s="565" t="s">
        <v>545</v>
      </c>
      <c r="X58" s="575"/>
      <c r="Y58" s="575"/>
      <c r="Z58" s="575"/>
      <c r="AA58" s="575"/>
      <c r="AB58" s="575"/>
      <c r="AC58" s="575"/>
      <c r="AD58" s="575"/>
      <c r="AE58" s="575"/>
      <c r="AF58" s="575"/>
      <c r="AG58" s="575"/>
      <c r="AH58" s="575"/>
      <c r="AI58" s="575"/>
    </row>
    <row r="59" spans="1:35" ht="24.95" customHeight="1" x14ac:dyDescent="0.2">
      <c r="A59" s="582">
        <v>46191600</v>
      </c>
      <c r="B59" s="583" t="s">
        <v>471</v>
      </c>
      <c r="C59" s="583" t="s">
        <v>281</v>
      </c>
      <c r="D59" s="583" t="s">
        <v>609</v>
      </c>
      <c r="E59" s="583" t="s">
        <v>661</v>
      </c>
      <c r="F59" s="588" t="s">
        <v>572</v>
      </c>
      <c r="G59" s="588" t="s">
        <v>572</v>
      </c>
      <c r="H59" s="582">
        <v>1</v>
      </c>
      <c r="I59" s="582"/>
      <c r="J59" s="565" t="s">
        <v>154</v>
      </c>
      <c r="K59" s="565"/>
      <c r="L59" s="584">
        <v>2000000</v>
      </c>
      <c r="M59" s="568">
        <v>2000000</v>
      </c>
      <c r="N59" s="583" t="s">
        <v>66</v>
      </c>
      <c r="O59" s="585">
        <v>0</v>
      </c>
      <c r="P59" s="577" t="s">
        <v>67</v>
      </c>
      <c r="Q59" s="577" t="s">
        <v>68</v>
      </c>
      <c r="R59" s="565" t="s">
        <v>612</v>
      </c>
      <c r="S59" s="565">
        <v>3422121</v>
      </c>
      <c r="T59" s="565" t="s">
        <v>613</v>
      </c>
      <c r="U59" s="577" t="s">
        <v>67</v>
      </c>
      <c r="V59" s="577"/>
      <c r="W59" s="565" t="s">
        <v>545</v>
      </c>
      <c r="X59" s="575"/>
      <c r="Y59" s="575"/>
      <c r="Z59" s="575"/>
      <c r="AA59" s="575"/>
      <c r="AB59" s="575"/>
      <c r="AC59" s="575"/>
      <c r="AD59" s="575"/>
      <c r="AE59" s="575"/>
      <c r="AF59" s="575"/>
      <c r="AG59" s="575"/>
      <c r="AH59" s="575"/>
      <c r="AI59" s="575"/>
    </row>
    <row r="60" spans="1:35" ht="24.95" customHeight="1" x14ac:dyDescent="0.2">
      <c r="A60" s="582"/>
      <c r="B60" s="583" t="s">
        <v>471</v>
      </c>
      <c r="C60" s="583" t="s">
        <v>281</v>
      </c>
      <c r="D60" s="583" t="s">
        <v>642</v>
      </c>
      <c r="E60" s="583" t="s">
        <v>662</v>
      </c>
      <c r="F60" s="588" t="s">
        <v>567</v>
      </c>
      <c r="G60" s="588" t="s">
        <v>567</v>
      </c>
      <c r="H60" s="582">
        <v>1</v>
      </c>
      <c r="I60" s="582"/>
      <c r="J60" s="565" t="s">
        <v>154</v>
      </c>
      <c r="K60" s="565"/>
      <c r="L60" s="584">
        <v>5025000</v>
      </c>
      <c r="M60" s="568">
        <v>5025000</v>
      </c>
      <c r="N60" s="583" t="s">
        <v>66</v>
      </c>
      <c r="O60" s="585">
        <v>0</v>
      </c>
      <c r="P60" s="577" t="s">
        <v>67</v>
      </c>
      <c r="Q60" s="577" t="s">
        <v>68</v>
      </c>
      <c r="R60" s="565" t="s">
        <v>612</v>
      </c>
      <c r="S60" s="565">
        <v>3422121</v>
      </c>
      <c r="T60" s="565" t="s">
        <v>613</v>
      </c>
      <c r="U60" s="577" t="s">
        <v>67</v>
      </c>
      <c r="V60" s="577"/>
      <c r="W60" s="565" t="s">
        <v>545</v>
      </c>
      <c r="X60" s="575"/>
      <c r="Y60" s="575"/>
      <c r="Z60" s="575"/>
      <c r="AA60" s="575"/>
      <c r="AB60" s="575"/>
      <c r="AC60" s="575"/>
      <c r="AD60" s="575"/>
      <c r="AE60" s="575"/>
      <c r="AF60" s="575"/>
      <c r="AG60" s="575"/>
      <c r="AH60" s="575"/>
      <c r="AI60" s="575"/>
    </row>
    <row r="61" spans="1:35" ht="24.95" customHeight="1" x14ac:dyDescent="0.2">
      <c r="A61" s="582"/>
      <c r="B61" s="583" t="s">
        <v>471</v>
      </c>
      <c r="C61" s="583" t="s">
        <v>281</v>
      </c>
      <c r="D61" s="583" t="s">
        <v>609</v>
      </c>
      <c r="E61" s="583" t="s">
        <v>737</v>
      </c>
      <c r="F61" s="588" t="s">
        <v>567</v>
      </c>
      <c r="G61" s="588" t="s">
        <v>567</v>
      </c>
      <c r="H61" s="582">
        <v>11</v>
      </c>
      <c r="I61" s="582"/>
      <c r="J61" s="565" t="s">
        <v>154</v>
      </c>
      <c r="K61" s="565"/>
      <c r="L61" s="584">
        <v>5927086</v>
      </c>
      <c r="M61" s="587">
        <v>5927086</v>
      </c>
      <c r="N61" s="583" t="s">
        <v>66</v>
      </c>
      <c r="O61" s="585">
        <v>0</v>
      </c>
      <c r="P61" s="577" t="s">
        <v>67</v>
      </c>
      <c r="Q61" s="577" t="s">
        <v>68</v>
      </c>
      <c r="R61" s="565" t="s">
        <v>612</v>
      </c>
      <c r="S61" s="565">
        <v>3422121</v>
      </c>
      <c r="T61" s="565" t="s">
        <v>613</v>
      </c>
      <c r="U61" s="577" t="s">
        <v>67</v>
      </c>
      <c r="V61" s="577"/>
      <c r="W61" s="565" t="s">
        <v>545</v>
      </c>
      <c r="X61" s="575"/>
      <c r="Y61" s="575"/>
      <c r="Z61" s="575"/>
      <c r="AA61" s="575"/>
      <c r="AB61" s="575"/>
      <c r="AC61" s="575"/>
      <c r="AD61" s="575"/>
      <c r="AE61" s="575"/>
      <c r="AF61" s="575"/>
      <c r="AG61" s="575"/>
      <c r="AH61" s="575"/>
      <c r="AI61" s="575"/>
    </row>
    <row r="62" spans="1:35" ht="24.95" customHeight="1" x14ac:dyDescent="0.2">
      <c r="A62" s="582"/>
      <c r="B62" s="583" t="s">
        <v>471</v>
      </c>
      <c r="C62" s="583" t="s">
        <v>281</v>
      </c>
      <c r="D62" s="583" t="s">
        <v>609</v>
      </c>
      <c r="E62" s="583" t="s">
        <v>666</v>
      </c>
      <c r="F62" s="588" t="s">
        <v>491</v>
      </c>
      <c r="G62" s="588" t="s">
        <v>491</v>
      </c>
      <c r="H62" s="582">
        <v>12</v>
      </c>
      <c r="I62" s="582"/>
      <c r="J62" s="565" t="s">
        <v>318</v>
      </c>
      <c r="K62" s="565"/>
      <c r="L62" s="584">
        <v>12000000</v>
      </c>
      <c r="M62" s="568">
        <v>0</v>
      </c>
      <c r="N62" s="583" t="s">
        <v>66</v>
      </c>
      <c r="O62" s="585">
        <v>0</v>
      </c>
      <c r="P62" s="577" t="s">
        <v>67</v>
      </c>
      <c r="Q62" s="577" t="s">
        <v>68</v>
      </c>
      <c r="R62" s="565" t="s">
        <v>612</v>
      </c>
      <c r="S62" s="565">
        <v>3422121</v>
      </c>
      <c r="T62" s="565" t="s">
        <v>613</v>
      </c>
      <c r="U62" s="577" t="s">
        <v>67</v>
      </c>
      <c r="V62" s="577"/>
      <c r="W62" s="565" t="s">
        <v>545</v>
      </c>
      <c r="X62" s="575"/>
      <c r="Y62" s="575"/>
      <c r="Z62" s="575"/>
      <c r="AA62" s="575"/>
      <c r="AB62" s="575"/>
      <c r="AC62" s="575"/>
      <c r="AD62" s="575"/>
      <c r="AE62" s="575"/>
      <c r="AF62" s="575"/>
      <c r="AG62" s="575"/>
      <c r="AH62" s="575"/>
      <c r="AI62" s="575"/>
    </row>
    <row r="63" spans="1:35" ht="24.95" customHeight="1" x14ac:dyDescent="0.2">
      <c r="A63" s="582"/>
      <c r="B63" s="583" t="s">
        <v>471</v>
      </c>
      <c r="C63" s="583" t="s">
        <v>281</v>
      </c>
      <c r="D63" s="583" t="s">
        <v>668</v>
      </c>
      <c r="E63" s="583" t="s">
        <v>669</v>
      </c>
      <c r="F63" s="588" t="s">
        <v>570</v>
      </c>
      <c r="G63" s="588" t="s">
        <v>570</v>
      </c>
      <c r="H63" s="582">
        <v>3</v>
      </c>
      <c r="I63" s="582"/>
      <c r="J63" s="565" t="s">
        <v>151</v>
      </c>
      <c r="K63" s="565"/>
      <c r="L63" s="584">
        <f>152225750-10192614</f>
        <v>142033136</v>
      </c>
      <c r="M63" s="589">
        <v>0</v>
      </c>
      <c r="N63" s="583" t="s">
        <v>66</v>
      </c>
      <c r="O63" s="585">
        <v>0</v>
      </c>
      <c r="P63" s="577" t="s">
        <v>67</v>
      </c>
      <c r="Q63" s="577" t="s">
        <v>68</v>
      </c>
      <c r="R63" s="565" t="s">
        <v>612</v>
      </c>
      <c r="S63" s="565">
        <v>3422121</v>
      </c>
      <c r="T63" s="565" t="s">
        <v>613</v>
      </c>
      <c r="U63" s="577" t="s">
        <v>67</v>
      </c>
      <c r="V63" s="577"/>
      <c r="W63" s="565" t="s">
        <v>545</v>
      </c>
      <c r="X63" s="575"/>
      <c r="Y63" s="575"/>
      <c r="Z63" s="575"/>
      <c r="AA63" s="575"/>
      <c r="AB63" s="575"/>
      <c r="AC63" s="575"/>
      <c r="AD63" s="575"/>
      <c r="AE63" s="575"/>
      <c r="AF63" s="575"/>
      <c r="AG63" s="575"/>
      <c r="AH63" s="575"/>
      <c r="AI63" s="575"/>
    </row>
    <row r="64" spans="1:35" ht="24.95" customHeight="1" x14ac:dyDescent="0.2">
      <c r="A64" s="582"/>
      <c r="B64" s="565" t="s">
        <v>471</v>
      </c>
      <c r="C64" s="565" t="s">
        <v>281</v>
      </c>
      <c r="D64" s="583" t="s">
        <v>609</v>
      </c>
      <c r="E64" s="583" t="s">
        <v>670</v>
      </c>
      <c r="F64" s="588" t="s">
        <v>491</v>
      </c>
      <c r="G64" s="588" t="s">
        <v>491</v>
      </c>
      <c r="H64" s="582">
        <v>11</v>
      </c>
      <c r="I64" s="565"/>
      <c r="J64" s="565" t="s">
        <v>318</v>
      </c>
      <c r="K64" s="583" t="s">
        <v>3</v>
      </c>
      <c r="L64" s="584">
        <v>18000000</v>
      </c>
      <c r="M64" s="568">
        <v>11552995</v>
      </c>
      <c r="N64" s="565" t="s">
        <v>66</v>
      </c>
      <c r="O64" s="585">
        <v>0</v>
      </c>
      <c r="P64" s="577" t="s">
        <v>67</v>
      </c>
      <c r="Q64" s="577" t="s">
        <v>68</v>
      </c>
      <c r="R64" s="565" t="s">
        <v>738</v>
      </c>
      <c r="S64" s="565">
        <v>3422121</v>
      </c>
      <c r="T64" s="565" t="s">
        <v>672</v>
      </c>
      <c r="U64" s="577" t="s">
        <v>67</v>
      </c>
      <c r="V64" s="577"/>
      <c r="W64" s="565" t="s">
        <v>545</v>
      </c>
      <c r="X64" s="575"/>
      <c r="Y64" s="575"/>
      <c r="Z64" s="575"/>
      <c r="AA64" s="575"/>
      <c r="AB64" s="575"/>
      <c r="AC64" s="575"/>
      <c r="AD64" s="575"/>
      <c r="AE64" s="575"/>
      <c r="AF64" s="575"/>
      <c r="AG64" s="575"/>
      <c r="AH64" s="575"/>
      <c r="AI64" s="575"/>
    </row>
    <row r="65" spans="1:35" ht="24.95" customHeight="1" x14ac:dyDescent="0.2">
      <c r="A65" s="590"/>
      <c r="B65" s="591" t="s">
        <v>471</v>
      </c>
      <c r="C65" s="591" t="s">
        <v>281</v>
      </c>
      <c r="D65" s="592" t="s">
        <v>609</v>
      </c>
      <c r="E65" s="592" t="s">
        <v>673</v>
      </c>
      <c r="F65" s="610" t="s">
        <v>674</v>
      </c>
      <c r="G65" s="610" t="s">
        <v>674</v>
      </c>
      <c r="H65" s="591">
        <v>1</v>
      </c>
      <c r="I65" s="591"/>
      <c r="J65" s="591" t="s">
        <v>675</v>
      </c>
      <c r="K65" s="591"/>
      <c r="L65" s="584">
        <v>2500000</v>
      </c>
      <c r="M65" s="593">
        <v>2500000</v>
      </c>
      <c r="N65" s="591" t="s">
        <v>66</v>
      </c>
      <c r="O65" s="585">
        <v>0</v>
      </c>
      <c r="P65" s="577" t="s">
        <v>67</v>
      </c>
      <c r="Q65" s="577" t="s">
        <v>68</v>
      </c>
      <c r="R65" s="565" t="s">
        <v>738</v>
      </c>
      <c r="S65" s="565">
        <v>3422121</v>
      </c>
      <c r="T65" s="565" t="s">
        <v>672</v>
      </c>
      <c r="U65" s="577" t="s">
        <v>67</v>
      </c>
      <c r="V65" s="577"/>
      <c r="W65" s="565" t="s">
        <v>545</v>
      </c>
      <c r="X65" s="575"/>
      <c r="Y65" s="575"/>
      <c r="Z65" s="575"/>
      <c r="AA65" s="575"/>
      <c r="AB65" s="575"/>
      <c r="AC65" s="575"/>
      <c r="AD65" s="575"/>
      <c r="AE65" s="575"/>
      <c r="AF65" s="575"/>
      <c r="AG65" s="575"/>
      <c r="AH65" s="575"/>
      <c r="AI65" s="575"/>
    </row>
    <row r="66" spans="1:35" ht="24.95" customHeight="1" x14ac:dyDescent="0.2">
      <c r="A66" s="582"/>
      <c r="B66" s="565" t="s">
        <v>270</v>
      </c>
      <c r="C66" s="565" t="s">
        <v>281</v>
      </c>
      <c r="D66" s="583" t="s">
        <v>609</v>
      </c>
      <c r="E66" s="583" t="s">
        <v>676</v>
      </c>
      <c r="F66" s="588" t="s">
        <v>491</v>
      </c>
      <c r="G66" s="588" t="s">
        <v>491</v>
      </c>
      <c r="H66" s="565"/>
      <c r="I66" s="565"/>
      <c r="J66" s="565" t="s">
        <v>675</v>
      </c>
      <c r="K66" s="583" t="s">
        <v>3</v>
      </c>
      <c r="L66" s="584">
        <v>13932000</v>
      </c>
      <c r="M66" s="568">
        <v>30164505</v>
      </c>
      <c r="N66" s="565" t="s">
        <v>66</v>
      </c>
      <c r="O66" s="585">
        <v>0</v>
      </c>
      <c r="P66" s="577" t="s">
        <v>67</v>
      </c>
      <c r="Q66" s="577" t="s">
        <v>68</v>
      </c>
      <c r="R66" s="565" t="s">
        <v>678</v>
      </c>
      <c r="S66" s="565">
        <v>3422121</v>
      </c>
      <c r="T66" s="565" t="s">
        <v>679</v>
      </c>
      <c r="U66" s="577" t="s">
        <v>67</v>
      </c>
      <c r="V66" s="577"/>
      <c r="W66" s="565" t="s">
        <v>545</v>
      </c>
      <c r="X66" s="575"/>
      <c r="Y66" s="575"/>
      <c r="Z66" s="575"/>
      <c r="AA66" s="575"/>
      <c r="AB66" s="575"/>
      <c r="AC66" s="575"/>
      <c r="AD66" s="575"/>
      <c r="AE66" s="575"/>
      <c r="AF66" s="575"/>
      <c r="AG66" s="575"/>
      <c r="AH66" s="575"/>
      <c r="AI66" s="575"/>
    </row>
    <row r="67" spans="1:35" ht="24.95" customHeight="1" x14ac:dyDescent="0.2">
      <c r="A67" s="582"/>
      <c r="B67" s="565" t="s">
        <v>270</v>
      </c>
      <c r="C67" s="565" t="s">
        <v>203</v>
      </c>
      <c r="D67" s="565" t="s">
        <v>724</v>
      </c>
      <c r="E67" s="583" t="s">
        <v>739</v>
      </c>
      <c r="F67" s="588" t="s">
        <v>491</v>
      </c>
      <c r="G67" s="588" t="s">
        <v>491</v>
      </c>
      <c r="H67" s="565">
        <v>11</v>
      </c>
      <c r="I67" s="582">
        <v>15</v>
      </c>
      <c r="J67" s="565" t="s">
        <v>83</v>
      </c>
      <c r="K67" s="565"/>
      <c r="L67" s="584">
        <v>84548426</v>
      </c>
      <c r="M67" s="568">
        <v>84548426</v>
      </c>
      <c r="N67" s="565" t="s">
        <v>66</v>
      </c>
      <c r="O67" s="585">
        <v>0</v>
      </c>
      <c r="P67" s="577" t="s">
        <v>67</v>
      </c>
      <c r="Q67" s="577" t="s">
        <v>68</v>
      </c>
      <c r="R67" s="565" t="s">
        <v>686</v>
      </c>
      <c r="S67" s="565">
        <v>3422121</v>
      </c>
      <c r="T67" s="565" t="s">
        <v>687</v>
      </c>
      <c r="U67" s="577" t="s">
        <v>67</v>
      </c>
      <c r="V67" s="577"/>
      <c r="W67" s="565" t="s">
        <v>545</v>
      </c>
      <c r="X67" s="575"/>
      <c r="Y67" s="575"/>
      <c r="Z67" s="575"/>
      <c r="AA67" s="575"/>
      <c r="AB67" s="575"/>
      <c r="AC67" s="575"/>
      <c r="AD67" s="575"/>
      <c r="AE67" s="575"/>
      <c r="AF67" s="575"/>
      <c r="AG67" s="575"/>
      <c r="AH67" s="575"/>
      <c r="AI67" s="575"/>
    </row>
    <row r="68" spans="1:35" ht="24.95" customHeight="1" x14ac:dyDescent="0.2">
      <c r="A68" s="582"/>
      <c r="B68" s="565" t="s">
        <v>270</v>
      </c>
      <c r="C68" s="565" t="s">
        <v>203</v>
      </c>
      <c r="D68" s="565" t="s">
        <v>740</v>
      </c>
      <c r="E68" s="583" t="s">
        <v>688</v>
      </c>
      <c r="F68" s="588" t="s">
        <v>689</v>
      </c>
      <c r="G68" s="588" t="s">
        <v>689</v>
      </c>
      <c r="H68" s="565"/>
      <c r="I68" s="565"/>
      <c r="J68" s="565" t="s">
        <v>675</v>
      </c>
      <c r="K68" s="565"/>
      <c r="L68" s="584">
        <f>38000000+8807386+10192614</f>
        <v>57000000</v>
      </c>
      <c r="M68" s="594">
        <v>57000000</v>
      </c>
      <c r="N68" s="565" t="s">
        <v>66</v>
      </c>
      <c r="O68" s="585">
        <v>0</v>
      </c>
      <c r="P68" s="577" t="s">
        <v>67</v>
      </c>
      <c r="Q68" s="577" t="s">
        <v>68</v>
      </c>
      <c r="R68" s="565" t="s">
        <v>556</v>
      </c>
      <c r="S68" s="565">
        <v>3422121</v>
      </c>
      <c r="T68" s="565" t="s">
        <v>557</v>
      </c>
      <c r="U68" s="577" t="s">
        <v>67</v>
      </c>
      <c r="V68" s="577"/>
      <c r="W68" s="565" t="s">
        <v>545</v>
      </c>
      <c r="X68" s="575"/>
      <c r="Y68" s="575"/>
      <c r="Z68" s="575"/>
      <c r="AA68" s="575"/>
      <c r="AB68" s="575"/>
      <c r="AC68" s="575"/>
      <c r="AD68" s="575"/>
      <c r="AE68" s="575"/>
      <c r="AF68" s="575"/>
      <c r="AG68" s="575"/>
      <c r="AH68" s="575"/>
      <c r="AI68" s="575"/>
    </row>
    <row r="69" spans="1:35" ht="24.95" customHeight="1" x14ac:dyDescent="0.2">
      <c r="A69" s="582"/>
      <c r="B69" s="565" t="s">
        <v>471</v>
      </c>
      <c r="C69" s="565" t="s">
        <v>554</v>
      </c>
      <c r="D69" s="583" t="s">
        <v>554</v>
      </c>
      <c r="E69" s="583" t="s">
        <v>690</v>
      </c>
      <c r="F69" s="588" t="s">
        <v>491</v>
      </c>
      <c r="G69" s="588" t="s">
        <v>491</v>
      </c>
      <c r="H69" s="565">
        <v>11</v>
      </c>
      <c r="I69" s="565">
        <v>30</v>
      </c>
      <c r="J69" s="565"/>
      <c r="K69" s="565" t="s">
        <v>10</v>
      </c>
      <c r="L69" s="584">
        <v>17258285</v>
      </c>
      <c r="M69" s="595">
        <v>14865017</v>
      </c>
      <c r="N69" s="565" t="s">
        <v>66</v>
      </c>
      <c r="O69" s="585">
        <v>0</v>
      </c>
      <c r="P69" s="577" t="s">
        <v>67</v>
      </c>
      <c r="Q69" s="577" t="s">
        <v>68</v>
      </c>
      <c r="R69" s="565" t="s">
        <v>556</v>
      </c>
      <c r="S69" s="565">
        <v>3422121</v>
      </c>
      <c r="T69" s="596" t="s">
        <v>557</v>
      </c>
      <c r="U69" s="577" t="s">
        <v>67</v>
      </c>
      <c r="V69" s="577"/>
      <c r="W69" s="565" t="s">
        <v>545</v>
      </c>
      <c r="X69" s="575"/>
      <c r="Y69" s="575"/>
      <c r="Z69" s="575"/>
      <c r="AA69" s="575"/>
      <c r="AB69" s="575"/>
      <c r="AC69" s="575"/>
      <c r="AD69" s="575"/>
      <c r="AE69" s="575"/>
      <c r="AF69" s="575"/>
      <c r="AG69" s="575"/>
      <c r="AH69" s="575"/>
      <c r="AI69" s="575"/>
    </row>
    <row r="70" spans="1:35" ht="24.95" customHeight="1" x14ac:dyDescent="0.2">
      <c r="A70" s="582"/>
      <c r="B70" s="565" t="s">
        <v>471</v>
      </c>
      <c r="C70" s="565" t="s">
        <v>554</v>
      </c>
      <c r="D70" s="583" t="s">
        <v>554</v>
      </c>
      <c r="E70" s="583" t="s">
        <v>691</v>
      </c>
      <c r="F70" s="588" t="s">
        <v>491</v>
      </c>
      <c r="G70" s="588" t="s">
        <v>491</v>
      </c>
      <c r="H70" s="565"/>
      <c r="I70" s="565"/>
      <c r="J70" s="565"/>
      <c r="K70" s="565" t="s">
        <v>10</v>
      </c>
      <c r="L70" s="584">
        <v>997141</v>
      </c>
      <c r="M70" s="597">
        <v>858864</v>
      </c>
      <c r="N70" s="565" t="s">
        <v>66</v>
      </c>
      <c r="O70" s="585">
        <v>0</v>
      </c>
      <c r="P70" s="577" t="s">
        <v>67</v>
      </c>
      <c r="Q70" s="577" t="s">
        <v>68</v>
      </c>
      <c r="R70" s="565" t="s">
        <v>556</v>
      </c>
      <c r="S70" s="565">
        <v>3422121</v>
      </c>
      <c r="T70" s="596" t="s">
        <v>557</v>
      </c>
      <c r="U70" s="577" t="s">
        <v>67</v>
      </c>
      <c r="V70" s="577"/>
      <c r="W70" s="565" t="s">
        <v>545</v>
      </c>
      <c r="X70" s="575"/>
      <c r="Y70" s="575"/>
      <c r="Z70" s="575"/>
      <c r="AA70" s="575"/>
      <c r="AB70" s="575"/>
      <c r="AC70" s="575"/>
      <c r="AD70" s="575"/>
      <c r="AE70" s="575"/>
      <c r="AF70" s="575"/>
      <c r="AG70" s="575"/>
      <c r="AH70" s="575"/>
      <c r="AI70" s="575"/>
    </row>
    <row r="71" spans="1:35" ht="24.95" customHeight="1" x14ac:dyDescent="0.2">
      <c r="A71" s="582"/>
      <c r="B71" s="565" t="s">
        <v>471</v>
      </c>
      <c r="C71" s="565" t="s">
        <v>554</v>
      </c>
      <c r="D71" s="583" t="s">
        <v>554</v>
      </c>
      <c r="E71" s="583" t="s">
        <v>693</v>
      </c>
      <c r="F71" s="588" t="s">
        <v>491</v>
      </c>
      <c r="G71" s="588" t="s">
        <v>491</v>
      </c>
      <c r="H71" s="565">
        <v>11</v>
      </c>
      <c r="I71" s="565"/>
      <c r="J71" s="565"/>
      <c r="K71" s="583" t="s">
        <v>3</v>
      </c>
      <c r="L71" s="584">
        <v>241488</v>
      </c>
      <c r="M71" s="597"/>
      <c r="N71" s="565"/>
      <c r="O71" s="585">
        <v>0</v>
      </c>
      <c r="P71" s="577" t="s">
        <v>67</v>
      </c>
      <c r="Q71" s="577" t="s">
        <v>68</v>
      </c>
      <c r="R71" s="565" t="s">
        <v>556</v>
      </c>
      <c r="S71" s="565">
        <v>3422121</v>
      </c>
      <c r="T71" s="565" t="s">
        <v>557</v>
      </c>
      <c r="U71" s="577" t="s">
        <v>67</v>
      </c>
      <c r="V71" s="577"/>
      <c r="W71" s="565" t="s">
        <v>545</v>
      </c>
      <c r="X71" s="575"/>
      <c r="Y71" s="575"/>
      <c r="Z71" s="575"/>
      <c r="AA71" s="575"/>
      <c r="AB71" s="575"/>
      <c r="AC71" s="575"/>
      <c r="AD71" s="575"/>
      <c r="AE71" s="575"/>
      <c r="AF71" s="575"/>
      <c r="AG71" s="575"/>
      <c r="AH71" s="575"/>
      <c r="AI71" s="575"/>
    </row>
    <row r="72" spans="1:35" ht="104.1" hidden="1" customHeight="1" x14ac:dyDescent="0.2">
      <c r="L72" s="598"/>
      <c r="X72" s="575"/>
    </row>
    <row r="73" spans="1:35" ht="104.1" hidden="1" customHeight="1" x14ac:dyDescent="0.2">
      <c r="L73" s="600"/>
      <c r="X73" s="575"/>
    </row>
    <row r="74" spans="1:35" ht="104.1" hidden="1" customHeight="1" x14ac:dyDescent="0.2">
      <c r="L74" s="601"/>
      <c r="X74" s="575"/>
    </row>
    <row r="75" spans="1:35" ht="104.1" hidden="1" customHeight="1" x14ac:dyDescent="0.2">
      <c r="L75" s="602"/>
      <c r="X75" s="575"/>
    </row>
    <row r="76" spans="1:35" ht="104.1" hidden="1" customHeight="1" x14ac:dyDescent="0.2">
      <c r="L76" s="598"/>
      <c r="X76" s="575"/>
    </row>
    <row r="77" spans="1:35" ht="104.1" customHeight="1" x14ac:dyDescent="0.2"/>
    <row r="78" spans="1:35" ht="104.1" hidden="1" customHeight="1" x14ac:dyDescent="0.2"/>
    <row r="79" spans="1:35" ht="104.1" hidden="1" customHeight="1" x14ac:dyDescent="0.2">
      <c r="L79" s="598"/>
    </row>
    <row r="80" spans="1:35" ht="104.1" hidden="1" customHeight="1" x14ac:dyDescent="0.2"/>
    <row r="81" ht="104.1" hidden="1" customHeight="1" x14ac:dyDescent="0.2"/>
    <row r="82" ht="104.1" hidden="1" customHeight="1" x14ac:dyDescent="0.2"/>
    <row r="83" ht="104.1" hidden="1" customHeight="1" x14ac:dyDescent="0.2"/>
    <row r="84" ht="104.1" hidden="1" customHeight="1" x14ac:dyDescent="0.2"/>
    <row r="85" ht="104.1" hidden="1" customHeight="1" x14ac:dyDescent="0.2"/>
    <row r="86" ht="104.1" hidden="1" customHeight="1" x14ac:dyDescent="0.2"/>
    <row r="87" ht="104.1" hidden="1" customHeight="1" x14ac:dyDescent="0.2"/>
  </sheetData>
  <sheetProtection algorithmName="SHA-512" hashValue="De3ks6Y5YmyTSOD45b8+rrHD9M4JslpYWJQW/Wfsnh6u2HluOWq/yF1rlS6zPVrfYxdjlDhLwvfOZuGEOGpPfA==" saltValue="1TnNlFgrumyygBZy8EOoGg==" spinCount="100000" sheet="1" objects="1" scenarios="1" autoFilter="0"/>
  <protectedRanges>
    <protectedRange algorithmName="SHA-512" hashValue="P4MVk1fytdnCXJ8+E/nMh5fSp+GruS97tn1pG6/F2sivFyIUKNMtB7/XA5PUlJ7kDdHrbA3rOjlnTj5TVFrI2A==" saltValue="b497cddG8fFJ3o8yWjWvhg==" spinCount="100000" sqref="AB1:AI1048576" name="Financiera CDP"/>
    <protectedRange algorithmName="SHA-512" hashValue="L/RkB/sHR60u7CQge2CY1z4GJmHeQGCzNIUwDSsIds4AgUKOr8SmnNRNonDDpFqLzqrkRIPrXEB93FH6BkjhyQ==" saltValue="mrD0LMZbjtv8LUFevaYdIg==" spinCount="100000" sqref="AA1:AA1048576" name="Observaciones"/>
    <protectedRange algorithmName="SHA-512" hashValue="Y8UPHcligHAoxGCDjXNkyNxdjucOStIjAXWFYOzAx+0BYMe/711WTU4z6BDQL3Bf1uU4AAXId600tMWlOjf5UQ==" saltValue="XVWAhnXb9T7BtyeH1H/DRg==" spinCount="100000" sqref="Z1:Z1048576" name="Contratos EP"/>
    <protectedRange algorithmName="SHA-512" hashValue="LStp3VDViT4Dn4ucXS5/fY/6yqUaLbzHXxvOhgzNnPp25FS9RvFT8x8CSOixEsU1bbFGPtX4LBQi/C/roMkAhQ==" saltValue="8+qJWrfbkkU7gvXszO/V8Q==" spinCount="100000" sqref="Y1:Y1048576" name="Financiera EP"/>
    <protectedRange algorithmName="SHA-512" hashValue="64P8kcGOvSNkCa4M1uzll32J9Zq9IQj4BJixIww6MqBhbP4Ou8ezNPFAgY5oV7l//V+P8xlqh46RcyPOYcrtCg==" saltValue="k1uPktGkFh+ms0b5pnn07A==" spinCount="100000" sqref="X1:X1048576" name="Planeación EP"/>
    <protectedRange algorithmName="SHA-512" hashValue="dmqRlVIw3ZUplRyTGwFKj6paqARL5UfvirIm3kkpF6ftxhJq3az2GVhQ4yWtP86B2qU+CYKLk6NyygxXDun9VQ==" saltValue="cxUd7ZBjXDoNMgNIN+pjgw==" spinCount="100000" sqref="A1:W1048576" name="Planeación control total"/>
  </protectedRanges>
  <autoFilter ref="A2:WWL2" xr:uid="{1E1D4EAF-2AD3-41E6-A8FA-BA19C5ECC0A3}"/>
  <dataValidations count="10">
    <dataValidation type="list" allowBlank="1" showInputMessage="1" showErrorMessage="1" sqref="JN12:JN33 TJ12:TJ33 ADF12:ADF33 ANB12:ANB33 AWX12:AWX33 BGT12:BGT33 BQP12:BQP33 CAL12:CAL33 CKH12:CKH33 CUD12:CUD33 DDZ12:DDZ33 DNV12:DNV33 DXR12:DXR33 EHN12:EHN33 ERJ12:ERJ33 FBF12:FBF33 FLB12:FLB33 FUX12:FUX33 GET12:GET33 GOP12:GOP33 GYL12:GYL33 HIH12:HIH33 HSD12:HSD33 IBZ12:IBZ33 ILV12:ILV33 IVR12:IVR33 JFN12:JFN33 JPJ12:JPJ33 JZF12:JZF33 KJB12:KJB33 KSX12:KSX33 LCT12:LCT33 LMP12:LMP33 LWL12:LWL33 MGH12:MGH33 MQD12:MQD33 MZZ12:MZZ33 NJV12:NJV33 NTR12:NTR33 ODN12:ODN33 ONJ12:ONJ33 OXF12:OXF33 PHB12:PHB33 PQX12:PQX33 QAT12:QAT33 QKP12:QKP33 QUL12:QUL33 REH12:REH33 ROD12:ROD33 RXZ12:RXZ33 SHV12:SHV33 SRR12:SRR33 TBN12:TBN33 TLJ12:TLJ33 TVF12:TVF33 UFB12:UFB33 UOX12:UOX33 UYT12:UYT33 VIP12:VIP33 VSL12:VSL33 WCH12:WCH33 WMD12:WMD33 WVZ12:WVZ33 Q65540:Q65561 JN65540:JN65561 TJ65540:TJ65561 ADF65540:ADF65561 ANB65540:ANB65561 AWX65540:AWX65561 BGT65540:BGT65561 BQP65540:BQP65561 CAL65540:CAL65561 CKH65540:CKH65561 CUD65540:CUD65561 DDZ65540:DDZ65561 DNV65540:DNV65561 DXR65540:DXR65561 EHN65540:EHN65561 ERJ65540:ERJ65561 FBF65540:FBF65561 FLB65540:FLB65561 FUX65540:FUX65561 GET65540:GET65561 GOP65540:GOP65561 GYL65540:GYL65561 HIH65540:HIH65561 HSD65540:HSD65561 IBZ65540:IBZ65561 ILV65540:ILV65561 IVR65540:IVR65561 JFN65540:JFN65561 JPJ65540:JPJ65561 JZF65540:JZF65561 KJB65540:KJB65561 KSX65540:KSX65561 LCT65540:LCT65561 LMP65540:LMP65561 LWL65540:LWL65561 MGH65540:MGH65561 MQD65540:MQD65561 MZZ65540:MZZ65561 NJV65540:NJV65561 NTR65540:NTR65561 ODN65540:ODN65561 ONJ65540:ONJ65561 OXF65540:OXF65561 PHB65540:PHB65561 PQX65540:PQX65561 QAT65540:QAT65561 QKP65540:QKP65561 QUL65540:QUL65561 REH65540:REH65561 ROD65540:ROD65561 RXZ65540:RXZ65561 SHV65540:SHV65561 SRR65540:SRR65561 TBN65540:TBN65561 TLJ65540:TLJ65561 TVF65540:TVF65561 UFB65540:UFB65561 UOX65540:UOX65561 UYT65540:UYT65561 VIP65540:VIP65561 VSL65540:VSL65561 WCH65540:WCH65561 WMD65540:WMD65561 WVZ65540:WVZ65561 Q131076:Q131097 JN131076:JN131097 TJ131076:TJ131097 ADF131076:ADF131097 ANB131076:ANB131097 AWX131076:AWX131097 BGT131076:BGT131097 BQP131076:BQP131097 CAL131076:CAL131097 CKH131076:CKH131097 CUD131076:CUD131097 DDZ131076:DDZ131097 DNV131076:DNV131097 DXR131076:DXR131097 EHN131076:EHN131097 ERJ131076:ERJ131097 FBF131076:FBF131097 FLB131076:FLB131097 FUX131076:FUX131097 GET131076:GET131097 GOP131076:GOP131097 GYL131076:GYL131097 HIH131076:HIH131097 HSD131076:HSD131097 IBZ131076:IBZ131097 ILV131076:ILV131097 IVR131076:IVR131097 JFN131076:JFN131097 JPJ131076:JPJ131097 JZF131076:JZF131097 KJB131076:KJB131097 KSX131076:KSX131097 LCT131076:LCT131097 LMP131076:LMP131097 LWL131076:LWL131097 MGH131076:MGH131097 MQD131076:MQD131097 MZZ131076:MZZ131097 NJV131076:NJV131097 NTR131076:NTR131097 ODN131076:ODN131097 ONJ131076:ONJ131097 OXF131076:OXF131097 PHB131076:PHB131097 PQX131076:PQX131097 QAT131076:QAT131097 QKP131076:QKP131097 QUL131076:QUL131097 REH131076:REH131097 ROD131076:ROD131097 RXZ131076:RXZ131097 SHV131076:SHV131097 SRR131076:SRR131097 TBN131076:TBN131097 TLJ131076:TLJ131097 TVF131076:TVF131097 UFB131076:UFB131097 UOX131076:UOX131097 UYT131076:UYT131097 VIP131076:VIP131097 VSL131076:VSL131097 WCH131076:WCH131097 WMD131076:WMD131097 WVZ131076:WVZ131097 Q196612:Q196633 JN196612:JN196633 TJ196612:TJ196633 ADF196612:ADF196633 ANB196612:ANB196633 AWX196612:AWX196633 BGT196612:BGT196633 BQP196612:BQP196633 CAL196612:CAL196633 CKH196612:CKH196633 CUD196612:CUD196633 DDZ196612:DDZ196633 DNV196612:DNV196633 DXR196612:DXR196633 EHN196612:EHN196633 ERJ196612:ERJ196633 FBF196612:FBF196633 FLB196612:FLB196633 FUX196612:FUX196633 GET196612:GET196633 GOP196612:GOP196633 GYL196612:GYL196633 HIH196612:HIH196633 HSD196612:HSD196633 IBZ196612:IBZ196633 ILV196612:ILV196633 IVR196612:IVR196633 JFN196612:JFN196633 JPJ196612:JPJ196633 JZF196612:JZF196633 KJB196612:KJB196633 KSX196612:KSX196633 LCT196612:LCT196633 LMP196612:LMP196633 LWL196612:LWL196633 MGH196612:MGH196633 MQD196612:MQD196633 MZZ196612:MZZ196633 NJV196612:NJV196633 NTR196612:NTR196633 ODN196612:ODN196633 ONJ196612:ONJ196633 OXF196612:OXF196633 PHB196612:PHB196633 PQX196612:PQX196633 QAT196612:QAT196633 QKP196612:QKP196633 QUL196612:QUL196633 REH196612:REH196633 ROD196612:ROD196633 RXZ196612:RXZ196633 SHV196612:SHV196633 SRR196612:SRR196633 TBN196612:TBN196633 TLJ196612:TLJ196633 TVF196612:TVF196633 UFB196612:UFB196633 UOX196612:UOX196633 UYT196612:UYT196633 VIP196612:VIP196633 VSL196612:VSL196633 WCH196612:WCH196633 WMD196612:WMD196633 WVZ196612:WVZ196633 Q262148:Q262169 JN262148:JN262169 TJ262148:TJ262169 ADF262148:ADF262169 ANB262148:ANB262169 AWX262148:AWX262169 BGT262148:BGT262169 BQP262148:BQP262169 CAL262148:CAL262169 CKH262148:CKH262169 CUD262148:CUD262169 DDZ262148:DDZ262169 DNV262148:DNV262169 DXR262148:DXR262169 EHN262148:EHN262169 ERJ262148:ERJ262169 FBF262148:FBF262169 FLB262148:FLB262169 FUX262148:FUX262169 GET262148:GET262169 GOP262148:GOP262169 GYL262148:GYL262169 HIH262148:HIH262169 HSD262148:HSD262169 IBZ262148:IBZ262169 ILV262148:ILV262169 IVR262148:IVR262169 JFN262148:JFN262169 JPJ262148:JPJ262169 JZF262148:JZF262169 KJB262148:KJB262169 KSX262148:KSX262169 LCT262148:LCT262169 LMP262148:LMP262169 LWL262148:LWL262169 MGH262148:MGH262169 MQD262148:MQD262169 MZZ262148:MZZ262169 NJV262148:NJV262169 NTR262148:NTR262169 ODN262148:ODN262169 ONJ262148:ONJ262169 OXF262148:OXF262169 PHB262148:PHB262169 PQX262148:PQX262169 QAT262148:QAT262169 QKP262148:QKP262169 QUL262148:QUL262169 REH262148:REH262169 ROD262148:ROD262169 RXZ262148:RXZ262169 SHV262148:SHV262169 SRR262148:SRR262169 TBN262148:TBN262169 TLJ262148:TLJ262169 TVF262148:TVF262169 UFB262148:UFB262169 UOX262148:UOX262169 UYT262148:UYT262169 VIP262148:VIP262169 VSL262148:VSL262169 WCH262148:WCH262169 WMD262148:WMD262169 WVZ262148:WVZ262169 Q327684:Q327705 JN327684:JN327705 TJ327684:TJ327705 ADF327684:ADF327705 ANB327684:ANB327705 AWX327684:AWX327705 BGT327684:BGT327705 BQP327684:BQP327705 CAL327684:CAL327705 CKH327684:CKH327705 CUD327684:CUD327705 DDZ327684:DDZ327705 DNV327684:DNV327705 DXR327684:DXR327705 EHN327684:EHN327705 ERJ327684:ERJ327705 FBF327684:FBF327705 FLB327684:FLB327705 FUX327684:FUX327705 GET327684:GET327705 GOP327684:GOP327705 GYL327684:GYL327705 HIH327684:HIH327705 HSD327684:HSD327705 IBZ327684:IBZ327705 ILV327684:ILV327705 IVR327684:IVR327705 JFN327684:JFN327705 JPJ327684:JPJ327705 JZF327684:JZF327705 KJB327684:KJB327705 KSX327684:KSX327705 LCT327684:LCT327705 LMP327684:LMP327705 LWL327684:LWL327705 MGH327684:MGH327705 MQD327684:MQD327705 MZZ327684:MZZ327705 NJV327684:NJV327705 NTR327684:NTR327705 ODN327684:ODN327705 ONJ327684:ONJ327705 OXF327684:OXF327705 PHB327684:PHB327705 PQX327684:PQX327705 QAT327684:QAT327705 QKP327684:QKP327705 QUL327684:QUL327705 REH327684:REH327705 ROD327684:ROD327705 RXZ327684:RXZ327705 SHV327684:SHV327705 SRR327684:SRR327705 TBN327684:TBN327705 TLJ327684:TLJ327705 TVF327684:TVF327705 UFB327684:UFB327705 UOX327684:UOX327705 UYT327684:UYT327705 VIP327684:VIP327705 VSL327684:VSL327705 WCH327684:WCH327705 WMD327684:WMD327705 WVZ327684:WVZ327705 Q393220:Q393241 JN393220:JN393241 TJ393220:TJ393241 ADF393220:ADF393241 ANB393220:ANB393241 AWX393220:AWX393241 BGT393220:BGT393241 BQP393220:BQP393241 CAL393220:CAL393241 CKH393220:CKH393241 CUD393220:CUD393241 DDZ393220:DDZ393241 DNV393220:DNV393241 DXR393220:DXR393241 EHN393220:EHN393241 ERJ393220:ERJ393241 FBF393220:FBF393241 FLB393220:FLB393241 FUX393220:FUX393241 GET393220:GET393241 GOP393220:GOP393241 GYL393220:GYL393241 HIH393220:HIH393241 HSD393220:HSD393241 IBZ393220:IBZ393241 ILV393220:ILV393241 IVR393220:IVR393241 JFN393220:JFN393241 JPJ393220:JPJ393241 JZF393220:JZF393241 KJB393220:KJB393241 KSX393220:KSX393241 LCT393220:LCT393241 LMP393220:LMP393241 LWL393220:LWL393241 MGH393220:MGH393241 MQD393220:MQD393241 MZZ393220:MZZ393241 NJV393220:NJV393241 NTR393220:NTR393241 ODN393220:ODN393241 ONJ393220:ONJ393241 OXF393220:OXF393241 PHB393220:PHB393241 PQX393220:PQX393241 QAT393220:QAT393241 QKP393220:QKP393241 QUL393220:QUL393241 REH393220:REH393241 ROD393220:ROD393241 RXZ393220:RXZ393241 SHV393220:SHV393241 SRR393220:SRR393241 TBN393220:TBN393241 TLJ393220:TLJ393241 TVF393220:TVF393241 UFB393220:UFB393241 UOX393220:UOX393241 UYT393220:UYT393241 VIP393220:VIP393241 VSL393220:VSL393241 WCH393220:WCH393241 WMD393220:WMD393241 WVZ393220:WVZ393241 Q458756:Q458777 JN458756:JN458777 TJ458756:TJ458777 ADF458756:ADF458777 ANB458756:ANB458777 AWX458756:AWX458777 BGT458756:BGT458777 BQP458756:BQP458777 CAL458756:CAL458777 CKH458756:CKH458777 CUD458756:CUD458777 DDZ458756:DDZ458777 DNV458756:DNV458777 DXR458756:DXR458777 EHN458756:EHN458777 ERJ458756:ERJ458777 FBF458756:FBF458777 FLB458756:FLB458777 FUX458756:FUX458777 GET458756:GET458777 GOP458756:GOP458777 GYL458756:GYL458777 HIH458756:HIH458777 HSD458756:HSD458777 IBZ458756:IBZ458777 ILV458756:ILV458777 IVR458756:IVR458777 JFN458756:JFN458777 JPJ458756:JPJ458777 JZF458756:JZF458777 KJB458756:KJB458777 KSX458756:KSX458777 LCT458756:LCT458777 LMP458756:LMP458777 LWL458756:LWL458777 MGH458756:MGH458777 MQD458756:MQD458777 MZZ458756:MZZ458777 NJV458756:NJV458777 NTR458756:NTR458777 ODN458756:ODN458777 ONJ458756:ONJ458777 OXF458756:OXF458777 PHB458756:PHB458777 PQX458756:PQX458777 QAT458756:QAT458777 QKP458756:QKP458777 QUL458756:QUL458777 REH458756:REH458777 ROD458756:ROD458777 RXZ458756:RXZ458777 SHV458756:SHV458777 SRR458756:SRR458777 TBN458756:TBN458777 TLJ458756:TLJ458777 TVF458756:TVF458777 UFB458756:UFB458777 UOX458756:UOX458777 UYT458756:UYT458777 VIP458756:VIP458777 VSL458756:VSL458777 WCH458756:WCH458777 WMD458756:WMD458777 WVZ458756:WVZ458777 Q524292:Q524313 JN524292:JN524313 TJ524292:TJ524313 ADF524292:ADF524313 ANB524292:ANB524313 AWX524292:AWX524313 BGT524292:BGT524313 BQP524292:BQP524313 CAL524292:CAL524313 CKH524292:CKH524313 CUD524292:CUD524313 DDZ524292:DDZ524313 DNV524292:DNV524313 DXR524292:DXR524313 EHN524292:EHN524313 ERJ524292:ERJ524313 FBF524292:FBF524313 FLB524292:FLB524313 FUX524292:FUX524313 GET524292:GET524313 GOP524292:GOP524313 GYL524292:GYL524313 HIH524292:HIH524313 HSD524292:HSD524313 IBZ524292:IBZ524313 ILV524292:ILV524313 IVR524292:IVR524313 JFN524292:JFN524313 JPJ524292:JPJ524313 JZF524292:JZF524313 KJB524292:KJB524313 KSX524292:KSX524313 LCT524292:LCT524313 LMP524292:LMP524313 LWL524292:LWL524313 MGH524292:MGH524313 MQD524292:MQD524313 MZZ524292:MZZ524313 NJV524292:NJV524313 NTR524292:NTR524313 ODN524292:ODN524313 ONJ524292:ONJ524313 OXF524292:OXF524313 PHB524292:PHB524313 PQX524292:PQX524313 QAT524292:QAT524313 QKP524292:QKP524313 QUL524292:QUL524313 REH524292:REH524313 ROD524292:ROD524313 RXZ524292:RXZ524313 SHV524292:SHV524313 SRR524292:SRR524313 TBN524292:TBN524313 TLJ524292:TLJ524313 TVF524292:TVF524313 UFB524292:UFB524313 UOX524292:UOX524313 UYT524292:UYT524313 VIP524292:VIP524313 VSL524292:VSL524313 WCH524292:WCH524313 WMD524292:WMD524313 WVZ524292:WVZ524313 Q589828:Q589849 JN589828:JN589849 TJ589828:TJ589849 ADF589828:ADF589849 ANB589828:ANB589849 AWX589828:AWX589849 BGT589828:BGT589849 BQP589828:BQP589849 CAL589828:CAL589849 CKH589828:CKH589849 CUD589828:CUD589849 DDZ589828:DDZ589849 DNV589828:DNV589849 DXR589828:DXR589849 EHN589828:EHN589849 ERJ589828:ERJ589849 FBF589828:FBF589849 FLB589828:FLB589849 FUX589828:FUX589849 GET589828:GET589849 GOP589828:GOP589849 GYL589828:GYL589849 HIH589828:HIH589849 HSD589828:HSD589849 IBZ589828:IBZ589849 ILV589828:ILV589849 IVR589828:IVR589849 JFN589828:JFN589849 JPJ589828:JPJ589849 JZF589828:JZF589849 KJB589828:KJB589849 KSX589828:KSX589849 LCT589828:LCT589849 LMP589828:LMP589849 LWL589828:LWL589849 MGH589828:MGH589849 MQD589828:MQD589849 MZZ589828:MZZ589849 NJV589828:NJV589849 NTR589828:NTR589849 ODN589828:ODN589849 ONJ589828:ONJ589849 OXF589828:OXF589849 PHB589828:PHB589849 PQX589828:PQX589849 QAT589828:QAT589849 QKP589828:QKP589849 QUL589828:QUL589849 REH589828:REH589849 ROD589828:ROD589849 RXZ589828:RXZ589849 SHV589828:SHV589849 SRR589828:SRR589849 TBN589828:TBN589849 TLJ589828:TLJ589849 TVF589828:TVF589849 UFB589828:UFB589849 UOX589828:UOX589849 UYT589828:UYT589849 VIP589828:VIP589849 VSL589828:VSL589849 WCH589828:WCH589849 WMD589828:WMD589849 WVZ589828:WVZ589849 Q655364:Q655385 JN655364:JN655385 TJ655364:TJ655385 ADF655364:ADF655385 ANB655364:ANB655385 AWX655364:AWX655385 BGT655364:BGT655385 BQP655364:BQP655385 CAL655364:CAL655385 CKH655364:CKH655385 CUD655364:CUD655385 DDZ655364:DDZ655385 DNV655364:DNV655385 DXR655364:DXR655385 EHN655364:EHN655385 ERJ655364:ERJ655385 FBF655364:FBF655385 FLB655364:FLB655385 FUX655364:FUX655385 GET655364:GET655385 GOP655364:GOP655385 GYL655364:GYL655385 HIH655364:HIH655385 HSD655364:HSD655385 IBZ655364:IBZ655385 ILV655364:ILV655385 IVR655364:IVR655385 JFN655364:JFN655385 JPJ655364:JPJ655385 JZF655364:JZF655385 KJB655364:KJB655385 KSX655364:KSX655385 LCT655364:LCT655385 LMP655364:LMP655385 LWL655364:LWL655385 MGH655364:MGH655385 MQD655364:MQD655385 MZZ655364:MZZ655385 NJV655364:NJV655385 NTR655364:NTR655385 ODN655364:ODN655385 ONJ655364:ONJ655385 OXF655364:OXF655385 PHB655364:PHB655385 PQX655364:PQX655385 QAT655364:QAT655385 QKP655364:QKP655385 QUL655364:QUL655385 REH655364:REH655385 ROD655364:ROD655385 RXZ655364:RXZ655385 SHV655364:SHV655385 SRR655364:SRR655385 TBN655364:TBN655385 TLJ655364:TLJ655385 TVF655364:TVF655385 UFB655364:UFB655385 UOX655364:UOX655385 UYT655364:UYT655385 VIP655364:VIP655385 VSL655364:VSL655385 WCH655364:WCH655385 WMD655364:WMD655385 WVZ655364:WVZ655385 Q720900:Q720921 JN720900:JN720921 TJ720900:TJ720921 ADF720900:ADF720921 ANB720900:ANB720921 AWX720900:AWX720921 BGT720900:BGT720921 BQP720900:BQP720921 CAL720900:CAL720921 CKH720900:CKH720921 CUD720900:CUD720921 DDZ720900:DDZ720921 DNV720900:DNV720921 DXR720900:DXR720921 EHN720900:EHN720921 ERJ720900:ERJ720921 FBF720900:FBF720921 FLB720900:FLB720921 FUX720900:FUX720921 GET720900:GET720921 GOP720900:GOP720921 GYL720900:GYL720921 HIH720900:HIH720921 HSD720900:HSD720921 IBZ720900:IBZ720921 ILV720900:ILV720921 IVR720900:IVR720921 JFN720900:JFN720921 JPJ720900:JPJ720921 JZF720900:JZF720921 KJB720900:KJB720921 KSX720900:KSX720921 LCT720900:LCT720921 LMP720900:LMP720921 LWL720900:LWL720921 MGH720900:MGH720921 MQD720900:MQD720921 MZZ720900:MZZ720921 NJV720900:NJV720921 NTR720900:NTR720921 ODN720900:ODN720921 ONJ720900:ONJ720921 OXF720900:OXF720921 PHB720900:PHB720921 PQX720900:PQX720921 QAT720900:QAT720921 QKP720900:QKP720921 QUL720900:QUL720921 REH720900:REH720921 ROD720900:ROD720921 RXZ720900:RXZ720921 SHV720900:SHV720921 SRR720900:SRR720921 TBN720900:TBN720921 TLJ720900:TLJ720921 TVF720900:TVF720921 UFB720900:UFB720921 UOX720900:UOX720921 UYT720900:UYT720921 VIP720900:VIP720921 VSL720900:VSL720921 WCH720900:WCH720921 WMD720900:WMD720921 WVZ720900:WVZ720921 Q786436:Q786457 JN786436:JN786457 TJ786436:TJ786457 ADF786436:ADF786457 ANB786436:ANB786457 AWX786436:AWX786457 BGT786436:BGT786457 BQP786436:BQP786457 CAL786436:CAL786457 CKH786436:CKH786457 CUD786436:CUD786457 DDZ786436:DDZ786457 DNV786436:DNV786457 DXR786436:DXR786457 EHN786436:EHN786457 ERJ786436:ERJ786457 FBF786436:FBF786457 FLB786436:FLB786457 FUX786436:FUX786457 GET786436:GET786457 GOP786436:GOP786457 GYL786436:GYL786457 HIH786436:HIH786457 HSD786436:HSD786457 IBZ786436:IBZ786457 ILV786436:ILV786457 IVR786436:IVR786457 JFN786436:JFN786457 JPJ786436:JPJ786457 JZF786436:JZF786457 KJB786436:KJB786457 KSX786436:KSX786457 LCT786436:LCT786457 LMP786436:LMP786457 LWL786436:LWL786457 MGH786436:MGH786457 MQD786436:MQD786457 MZZ786436:MZZ786457 NJV786436:NJV786457 NTR786436:NTR786457 ODN786436:ODN786457 ONJ786436:ONJ786457 OXF786436:OXF786457 PHB786436:PHB786457 PQX786436:PQX786457 QAT786436:QAT786457 QKP786436:QKP786457 QUL786436:QUL786457 REH786436:REH786457 ROD786436:ROD786457 RXZ786436:RXZ786457 SHV786436:SHV786457 SRR786436:SRR786457 TBN786436:TBN786457 TLJ786436:TLJ786457 TVF786436:TVF786457 UFB786436:UFB786457 UOX786436:UOX786457 UYT786436:UYT786457 VIP786436:VIP786457 VSL786436:VSL786457 WCH786436:WCH786457 WMD786436:WMD786457 WVZ786436:WVZ786457 Q851972:Q851993 JN851972:JN851993 TJ851972:TJ851993 ADF851972:ADF851993 ANB851972:ANB851993 AWX851972:AWX851993 BGT851972:BGT851993 BQP851972:BQP851993 CAL851972:CAL851993 CKH851972:CKH851993 CUD851972:CUD851993 DDZ851972:DDZ851993 DNV851972:DNV851993 DXR851972:DXR851993 EHN851972:EHN851993 ERJ851972:ERJ851993 FBF851972:FBF851993 FLB851972:FLB851993 FUX851972:FUX851993 GET851972:GET851993 GOP851972:GOP851993 GYL851972:GYL851993 HIH851972:HIH851993 HSD851972:HSD851993 IBZ851972:IBZ851993 ILV851972:ILV851993 IVR851972:IVR851993 JFN851972:JFN851993 JPJ851972:JPJ851993 JZF851972:JZF851993 KJB851972:KJB851993 KSX851972:KSX851993 LCT851972:LCT851993 LMP851972:LMP851993 LWL851972:LWL851993 MGH851972:MGH851993 MQD851972:MQD851993 MZZ851972:MZZ851993 NJV851972:NJV851993 NTR851972:NTR851993 ODN851972:ODN851993 ONJ851972:ONJ851993 OXF851972:OXF851993 PHB851972:PHB851993 PQX851972:PQX851993 QAT851972:QAT851993 QKP851972:QKP851993 QUL851972:QUL851993 REH851972:REH851993 ROD851972:ROD851993 RXZ851972:RXZ851993 SHV851972:SHV851993 SRR851972:SRR851993 TBN851972:TBN851993 TLJ851972:TLJ851993 TVF851972:TVF851993 UFB851972:UFB851993 UOX851972:UOX851993 UYT851972:UYT851993 VIP851972:VIP851993 VSL851972:VSL851993 WCH851972:WCH851993 WMD851972:WMD851993 WVZ851972:WVZ851993 Q917508:Q917529 JN917508:JN917529 TJ917508:TJ917529 ADF917508:ADF917529 ANB917508:ANB917529 AWX917508:AWX917529 BGT917508:BGT917529 BQP917508:BQP917529 CAL917508:CAL917529 CKH917508:CKH917529 CUD917508:CUD917529 DDZ917508:DDZ917529 DNV917508:DNV917529 DXR917508:DXR917529 EHN917508:EHN917529 ERJ917508:ERJ917529 FBF917508:FBF917529 FLB917508:FLB917529 FUX917508:FUX917529 GET917508:GET917529 GOP917508:GOP917529 GYL917508:GYL917529 HIH917508:HIH917529 HSD917508:HSD917529 IBZ917508:IBZ917529 ILV917508:ILV917529 IVR917508:IVR917529 JFN917508:JFN917529 JPJ917508:JPJ917529 JZF917508:JZF917529 KJB917508:KJB917529 KSX917508:KSX917529 LCT917508:LCT917529 LMP917508:LMP917529 LWL917508:LWL917529 MGH917508:MGH917529 MQD917508:MQD917529 MZZ917508:MZZ917529 NJV917508:NJV917529 NTR917508:NTR917529 ODN917508:ODN917529 ONJ917508:ONJ917529 OXF917508:OXF917529 PHB917508:PHB917529 PQX917508:PQX917529 QAT917508:QAT917529 QKP917508:QKP917529 QUL917508:QUL917529 REH917508:REH917529 ROD917508:ROD917529 RXZ917508:RXZ917529 SHV917508:SHV917529 SRR917508:SRR917529 TBN917508:TBN917529 TLJ917508:TLJ917529 TVF917508:TVF917529 UFB917508:UFB917529 UOX917508:UOX917529 UYT917508:UYT917529 VIP917508:VIP917529 VSL917508:VSL917529 WCH917508:WCH917529 WMD917508:WMD917529 WVZ917508:WVZ917529 Q983044:Q983065 JN983044:JN983065 TJ983044:TJ983065 ADF983044:ADF983065 ANB983044:ANB983065 AWX983044:AWX983065 BGT983044:BGT983065 BQP983044:BQP983065 CAL983044:CAL983065 CKH983044:CKH983065 CUD983044:CUD983065 DDZ983044:DDZ983065 DNV983044:DNV983065 DXR983044:DXR983065 EHN983044:EHN983065 ERJ983044:ERJ983065 FBF983044:FBF983065 FLB983044:FLB983065 FUX983044:FUX983065 GET983044:GET983065 GOP983044:GOP983065 GYL983044:GYL983065 HIH983044:HIH983065 HSD983044:HSD983065 IBZ983044:IBZ983065 ILV983044:ILV983065 IVR983044:IVR983065 JFN983044:JFN983065 JPJ983044:JPJ983065 JZF983044:JZF983065 KJB983044:KJB983065 KSX983044:KSX983065 LCT983044:LCT983065 LMP983044:LMP983065 LWL983044:LWL983065 MGH983044:MGH983065 MQD983044:MQD983065 MZZ983044:MZZ983065 NJV983044:NJV983065 NTR983044:NTR983065 ODN983044:ODN983065 ONJ983044:ONJ983065 OXF983044:OXF983065 PHB983044:PHB983065 PQX983044:PQX983065 QAT983044:QAT983065 QKP983044:QKP983065 QUL983044:QUL983065 REH983044:REH983065 ROD983044:ROD983065 RXZ983044:RXZ983065 SHV983044:SHV983065 SRR983044:SRR983065 TBN983044:TBN983065 TLJ983044:TLJ983065 TVF983044:TVF983065 UFB983044:UFB983065 UOX983044:UOX983065 UYT983044:UYT983065 VIP983044:VIP983065 VSL983044:VSL983065 WCH983044:WCH983065 WMD983044:WMD983065 WVZ983044:WVZ983065 WVZ983098:WVZ983247 Q65594:Q65743 JN65594:JN65743 TJ65594:TJ65743 ADF65594:ADF65743 ANB65594:ANB65743 AWX65594:AWX65743 BGT65594:BGT65743 BQP65594:BQP65743 CAL65594:CAL65743 CKH65594:CKH65743 CUD65594:CUD65743 DDZ65594:DDZ65743 DNV65594:DNV65743 DXR65594:DXR65743 EHN65594:EHN65743 ERJ65594:ERJ65743 FBF65594:FBF65743 FLB65594:FLB65743 FUX65594:FUX65743 GET65594:GET65743 GOP65594:GOP65743 GYL65594:GYL65743 HIH65594:HIH65743 HSD65594:HSD65743 IBZ65594:IBZ65743 ILV65594:ILV65743 IVR65594:IVR65743 JFN65594:JFN65743 JPJ65594:JPJ65743 JZF65594:JZF65743 KJB65594:KJB65743 KSX65594:KSX65743 LCT65594:LCT65743 LMP65594:LMP65743 LWL65594:LWL65743 MGH65594:MGH65743 MQD65594:MQD65743 MZZ65594:MZZ65743 NJV65594:NJV65743 NTR65594:NTR65743 ODN65594:ODN65743 ONJ65594:ONJ65743 OXF65594:OXF65743 PHB65594:PHB65743 PQX65594:PQX65743 QAT65594:QAT65743 QKP65594:QKP65743 QUL65594:QUL65743 REH65594:REH65743 ROD65594:ROD65743 RXZ65594:RXZ65743 SHV65594:SHV65743 SRR65594:SRR65743 TBN65594:TBN65743 TLJ65594:TLJ65743 TVF65594:TVF65743 UFB65594:UFB65743 UOX65594:UOX65743 UYT65594:UYT65743 VIP65594:VIP65743 VSL65594:VSL65743 WCH65594:WCH65743 WMD65594:WMD65743 WVZ65594:WVZ65743 Q131130:Q131279 JN131130:JN131279 TJ131130:TJ131279 ADF131130:ADF131279 ANB131130:ANB131279 AWX131130:AWX131279 BGT131130:BGT131279 BQP131130:BQP131279 CAL131130:CAL131279 CKH131130:CKH131279 CUD131130:CUD131279 DDZ131130:DDZ131279 DNV131130:DNV131279 DXR131130:DXR131279 EHN131130:EHN131279 ERJ131130:ERJ131279 FBF131130:FBF131279 FLB131130:FLB131279 FUX131130:FUX131279 GET131130:GET131279 GOP131130:GOP131279 GYL131130:GYL131279 HIH131130:HIH131279 HSD131130:HSD131279 IBZ131130:IBZ131279 ILV131130:ILV131279 IVR131130:IVR131279 JFN131130:JFN131279 JPJ131130:JPJ131279 JZF131130:JZF131279 KJB131130:KJB131279 KSX131130:KSX131279 LCT131130:LCT131279 LMP131130:LMP131279 LWL131130:LWL131279 MGH131130:MGH131279 MQD131130:MQD131279 MZZ131130:MZZ131279 NJV131130:NJV131279 NTR131130:NTR131279 ODN131130:ODN131279 ONJ131130:ONJ131279 OXF131130:OXF131279 PHB131130:PHB131279 PQX131130:PQX131279 QAT131130:QAT131279 QKP131130:QKP131279 QUL131130:QUL131279 REH131130:REH131279 ROD131130:ROD131279 RXZ131130:RXZ131279 SHV131130:SHV131279 SRR131130:SRR131279 TBN131130:TBN131279 TLJ131130:TLJ131279 TVF131130:TVF131279 UFB131130:UFB131279 UOX131130:UOX131279 UYT131130:UYT131279 VIP131130:VIP131279 VSL131130:VSL131279 WCH131130:WCH131279 WMD131130:WMD131279 WVZ131130:WVZ131279 Q196666:Q196815 JN196666:JN196815 TJ196666:TJ196815 ADF196666:ADF196815 ANB196666:ANB196815 AWX196666:AWX196815 BGT196666:BGT196815 BQP196666:BQP196815 CAL196666:CAL196815 CKH196666:CKH196815 CUD196666:CUD196815 DDZ196666:DDZ196815 DNV196666:DNV196815 DXR196666:DXR196815 EHN196666:EHN196815 ERJ196666:ERJ196815 FBF196666:FBF196815 FLB196666:FLB196815 FUX196666:FUX196815 GET196666:GET196815 GOP196666:GOP196815 GYL196666:GYL196815 HIH196666:HIH196815 HSD196666:HSD196815 IBZ196666:IBZ196815 ILV196666:ILV196815 IVR196666:IVR196815 JFN196666:JFN196815 JPJ196666:JPJ196815 JZF196666:JZF196815 KJB196666:KJB196815 KSX196666:KSX196815 LCT196666:LCT196815 LMP196666:LMP196815 LWL196666:LWL196815 MGH196666:MGH196815 MQD196666:MQD196815 MZZ196666:MZZ196815 NJV196666:NJV196815 NTR196666:NTR196815 ODN196666:ODN196815 ONJ196666:ONJ196815 OXF196666:OXF196815 PHB196666:PHB196815 PQX196666:PQX196815 QAT196666:QAT196815 QKP196666:QKP196815 QUL196666:QUL196815 REH196666:REH196815 ROD196666:ROD196815 RXZ196666:RXZ196815 SHV196666:SHV196815 SRR196666:SRR196815 TBN196666:TBN196815 TLJ196666:TLJ196815 TVF196666:TVF196815 UFB196666:UFB196815 UOX196666:UOX196815 UYT196666:UYT196815 VIP196666:VIP196815 VSL196666:VSL196815 WCH196666:WCH196815 WMD196666:WMD196815 WVZ196666:WVZ196815 Q262202:Q262351 JN262202:JN262351 TJ262202:TJ262351 ADF262202:ADF262351 ANB262202:ANB262351 AWX262202:AWX262351 BGT262202:BGT262351 BQP262202:BQP262351 CAL262202:CAL262351 CKH262202:CKH262351 CUD262202:CUD262351 DDZ262202:DDZ262351 DNV262202:DNV262351 DXR262202:DXR262351 EHN262202:EHN262351 ERJ262202:ERJ262351 FBF262202:FBF262351 FLB262202:FLB262351 FUX262202:FUX262351 GET262202:GET262351 GOP262202:GOP262351 GYL262202:GYL262351 HIH262202:HIH262351 HSD262202:HSD262351 IBZ262202:IBZ262351 ILV262202:ILV262351 IVR262202:IVR262351 JFN262202:JFN262351 JPJ262202:JPJ262351 JZF262202:JZF262351 KJB262202:KJB262351 KSX262202:KSX262351 LCT262202:LCT262351 LMP262202:LMP262351 LWL262202:LWL262351 MGH262202:MGH262351 MQD262202:MQD262351 MZZ262202:MZZ262351 NJV262202:NJV262351 NTR262202:NTR262351 ODN262202:ODN262351 ONJ262202:ONJ262351 OXF262202:OXF262351 PHB262202:PHB262351 PQX262202:PQX262351 QAT262202:QAT262351 QKP262202:QKP262351 QUL262202:QUL262351 REH262202:REH262351 ROD262202:ROD262351 RXZ262202:RXZ262351 SHV262202:SHV262351 SRR262202:SRR262351 TBN262202:TBN262351 TLJ262202:TLJ262351 TVF262202:TVF262351 UFB262202:UFB262351 UOX262202:UOX262351 UYT262202:UYT262351 VIP262202:VIP262351 VSL262202:VSL262351 WCH262202:WCH262351 WMD262202:WMD262351 WVZ262202:WVZ262351 Q327738:Q327887 JN327738:JN327887 TJ327738:TJ327887 ADF327738:ADF327887 ANB327738:ANB327887 AWX327738:AWX327887 BGT327738:BGT327887 BQP327738:BQP327887 CAL327738:CAL327887 CKH327738:CKH327887 CUD327738:CUD327887 DDZ327738:DDZ327887 DNV327738:DNV327887 DXR327738:DXR327887 EHN327738:EHN327887 ERJ327738:ERJ327887 FBF327738:FBF327887 FLB327738:FLB327887 FUX327738:FUX327887 GET327738:GET327887 GOP327738:GOP327887 GYL327738:GYL327887 HIH327738:HIH327887 HSD327738:HSD327887 IBZ327738:IBZ327887 ILV327738:ILV327887 IVR327738:IVR327887 JFN327738:JFN327887 JPJ327738:JPJ327887 JZF327738:JZF327887 KJB327738:KJB327887 KSX327738:KSX327887 LCT327738:LCT327887 LMP327738:LMP327887 LWL327738:LWL327887 MGH327738:MGH327887 MQD327738:MQD327887 MZZ327738:MZZ327887 NJV327738:NJV327887 NTR327738:NTR327887 ODN327738:ODN327887 ONJ327738:ONJ327887 OXF327738:OXF327887 PHB327738:PHB327887 PQX327738:PQX327887 QAT327738:QAT327887 QKP327738:QKP327887 QUL327738:QUL327887 REH327738:REH327887 ROD327738:ROD327887 RXZ327738:RXZ327887 SHV327738:SHV327887 SRR327738:SRR327887 TBN327738:TBN327887 TLJ327738:TLJ327887 TVF327738:TVF327887 UFB327738:UFB327887 UOX327738:UOX327887 UYT327738:UYT327887 VIP327738:VIP327887 VSL327738:VSL327887 WCH327738:WCH327887 WMD327738:WMD327887 WVZ327738:WVZ327887 Q393274:Q393423 JN393274:JN393423 TJ393274:TJ393423 ADF393274:ADF393423 ANB393274:ANB393423 AWX393274:AWX393423 BGT393274:BGT393423 BQP393274:BQP393423 CAL393274:CAL393423 CKH393274:CKH393423 CUD393274:CUD393423 DDZ393274:DDZ393423 DNV393274:DNV393423 DXR393274:DXR393423 EHN393274:EHN393423 ERJ393274:ERJ393423 FBF393274:FBF393423 FLB393274:FLB393423 FUX393274:FUX393423 GET393274:GET393423 GOP393274:GOP393423 GYL393274:GYL393423 HIH393274:HIH393423 HSD393274:HSD393423 IBZ393274:IBZ393423 ILV393274:ILV393423 IVR393274:IVR393423 JFN393274:JFN393423 JPJ393274:JPJ393423 JZF393274:JZF393423 KJB393274:KJB393423 KSX393274:KSX393423 LCT393274:LCT393423 LMP393274:LMP393423 LWL393274:LWL393423 MGH393274:MGH393423 MQD393274:MQD393423 MZZ393274:MZZ393423 NJV393274:NJV393423 NTR393274:NTR393423 ODN393274:ODN393423 ONJ393274:ONJ393423 OXF393274:OXF393423 PHB393274:PHB393423 PQX393274:PQX393423 QAT393274:QAT393423 QKP393274:QKP393423 QUL393274:QUL393423 REH393274:REH393423 ROD393274:ROD393423 RXZ393274:RXZ393423 SHV393274:SHV393423 SRR393274:SRR393423 TBN393274:TBN393423 TLJ393274:TLJ393423 TVF393274:TVF393423 UFB393274:UFB393423 UOX393274:UOX393423 UYT393274:UYT393423 VIP393274:VIP393423 VSL393274:VSL393423 WCH393274:WCH393423 WMD393274:WMD393423 WVZ393274:WVZ393423 Q458810:Q458959 JN458810:JN458959 TJ458810:TJ458959 ADF458810:ADF458959 ANB458810:ANB458959 AWX458810:AWX458959 BGT458810:BGT458959 BQP458810:BQP458959 CAL458810:CAL458959 CKH458810:CKH458959 CUD458810:CUD458959 DDZ458810:DDZ458959 DNV458810:DNV458959 DXR458810:DXR458959 EHN458810:EHN458959 ERJ458810:ERJ458959 FBF458810:FBF458959 FLB458810:FLB458959 FUX458810:FUX458959 GET458810:GET458959 GOP458810:GOP458959 GYL458810:GYL458959 HIH458810:HIH458959 HSD458810:HSD458959 IBZ458810:IBZ458959 ILV458810:ILV458959 IVR458810:IVR458959 JFN458810:JFN458959 JPJ458810:JPJ458959 JZF458810:JZF458959 KJB458810:KJB458959 KSX458810:KSX458959 LCT458810:LCT458959 LMP458810:LMP458959 LWL458810:LWL458959 MGH458810:MGH458959 MQD458810:MQD458959 MZZ458810:MZZ458959 NJV458810:NJV458959 NTR458810:NTR458959 ODN458810:ODN458959 ONJ458810:ONJ458959 OXF458810:OXF458959 PHB458810:PHB458959 PQX458810:PQX458959 QAT458810:QAT458959 QKP458810:QKP458959 QUL458810:QUL458959 REH458810:REH458959 ROD458810:ROD458959 RXZ458810:RXZ458959 SHV458810:SHV458959 SRR458810:SRR458959 TBN458810:TBN458959 TLJ458810:TLJ458959 TVF458810:TVF458959 UFB458810:UFB458959 UOX458810:UOX458959 UYT458810:UYT458959 VIP458810:VIP458959 VSL458810:VSL458959 WCH458810:WCH458959 WMD458810:WMD458959 WVZ458810:WVZ458959 Q524346:Q524495 JN524346:JN524495 TJ524346:TJ524495 ADF524346:ADF524495 ANB524346:ANB524495 AWX524346:AWX524495 BGT524346:BGT524495 BQP524346:BQP524495 CAL524346:CAL524495 CKH524346:CKH524495 CUD524346:CUD524495 DDZ524346:DDZ524495 DNV524346:DNV524495 DXR524346:DXR524495 EHN524346:EHN524495 ERJ524346:ERJ524495 FBF524346:FBF524495 FLB524346:FLB524495 FUX524346:FUX524495 GET524346:GET524495 GOP524346:GOP524495 GYL524346:GYL524495 HIH524346:HIH524495 HSD524346:HSD524495 IBZ524346:IBZ524495 ILV524346:ILV524495 IVR524346:IVR524495 JFN524346:JFN524495 JPJ524346:JPJ524495 JZF524346:JZF524495 KJB524346:KJB524495 KSX524346:KSX524495 LCT524346:LCT524495 LMP524346:LMP524495 LWL524346:LWL524495 MGH524346:MGH524495 MQD524346:MQD524495 MZZ524346:MZZ524495 NJV524346:NJV524495 NTR524346:NTR524495 ODN524346:ODN524495 ONJ524346:ONJ524495 OXF524346:OXF524495 PHB524346:PHB524495 PQX524346:PQX524495 QAT524346:QAT524495 QKP524346:QKP524495 QUL524346:QUL524495 REH524346:REH524495 ROD524346:ROD524495 RXZ524346:RXZ524495 SHV524346:SHV524495 SRR524346:SRR524495 TBN524346:TBN524495 TLJ524346:TLJ524495 TVF524346:TVF524495 UFB524346:UFB524495 UOX524346:UOX524495 UYT524346:UYT524495 VIP524346:VIP524495 VSL524346:VSL524495 WCH524346:WCH524495 WMD524346:WMD524495 WVZ524346:WVZ524495 Q589882:Q590031 JN589882:JN590031 TJ589882:TJ590031 ADF589882:ADF590031 ANB589882:ANB590031 AWX589882:AWX590031 BGT589882:BGT590031 BQP589882:BQP590031 CAL589882:CAL590031 CKH589882:CKH590031 CUD589882:CUD590031 DDZ589882:DDZ590031 DNV589882:DNV590031 DXR589882:DXR590031 EHN589882:EHN590031 ERJ589882:ERJ590031 FBF589882:FBF590031 FLB589882:FLB590031 FUX589882:FUX590031 GET589882:GET590031 GOP589882:GOP590031 GYL589882:GYL590031 HIH589882:HIH590031 HSD589882:HSD590031 IBZ589882:IBZ590031 ILV589882:ILV590031 IVR589882:IVR590031 JFN589882:JFN590031 JPJ589882:JPJ590031 JZF589882:JZF590031 KJB589882:KJB590031 KSX589882:KSX590031 LCT589882:LCT590031 LMP589882:LMP590031 LWL589882:LWL590031 MGH589882:MGH590031 MQD589882:MQD590031 MZZ589882:MZZ590031 NJV589882:NJV590031 NTR589882:NTR590031 ODN589882:ODN590031 ONJ589882:ONJ590031 OXF589882:OXF590031 PHB589882:PHB590031 PQX589882:PQX590031 QAT589882:QAT590031 QKP589882:QKP590031 QUL589882:QUL590031 REH589882:REH590031 ROD589882:ROD590031 RXZ589882:RXZ590031 SHV589882:SHV590031 SRR589882:SRR590031 TBN589882:TBN590031 TLJ589882:TLJ590031 TVF589882:TVF590031 UFB589882:UFB590031 UOX589882:UOX590031 UYT589882:UYT590031 VIP589882:VIP590031 VSL589882:VSL590031 WCH589882:WCH590031 WMD589882:WMD590031 WVZ589882:WVZ590031 Q655418:Q655567 JN655418:JN655567 TJ655418:TJ655567 ADF655418:ADF655567 ANB655418:ANB655567 AWX655418:AWX655567 BGT655418:BGT655567 BQP655418:BQP655567 CAL655418:CAL655567 CKH655418:CKH655567 CUD655418:CUD655567 DDZ655418:DDZ655567 DNV655418:DNV655567 DXR655418:DXR655567 EHN655418:EHN655567 ERJ655418:ERJ655567 FBF655418:FBF655567 FLB655418:FLB655567 FUX655418:FUX655567 GET655418:GET655567 GOP655418:GOP655567 GYL655418:GYL655567 HIH655418:HIH655567 HSD655418:HSD655567 IBZ655418:IBZ655567 ILV655418:ILV655567 IVR655418:IVR655567 JFN655418:JFN655567 JPJ655418:JPJ655567 JZF655418:JZF655567 KJB655418:KJB655567 KSX655418:KSX655567 LCT655418:LCT655567 LMP655418:LMP655567 LWL655418:LWL655567 MGH655418:MGH655567 MQD655418:MQD655567 MZZ655418:MZZ655567 NJV655418:NJV655567 NTR655418:NTR655567 ODN655418:ODN655567 ONJ655418:ONJ655567 OXF655418:OXF655567 PHB655418:PHB655567 PQX655418:PQX655567 QAT655418:QAT655567 QKP655418:QKP655567 QUL655418:QUL655567 REH655418:REH655567 ROD655418:ROD655567 RXZ655418:RXZ655567 SHV655418:SHV655567 SRR655418:SRR655567 TBN655418:TBN655567 TLJ655418:TLJ655567 TVF655418:TVF655567 UFB655418:UFB655567 UOX655418:UOX655567 UYT655418:UYT655567 VIP655418:VIP655567 VSL655418:VSL655567 WCH655418:WCH655567 WMD655418:WMD655567 WVZ655418:WVZ655567 Q720954:Q721103 JN720954:JN721103 TJ720954:TJ721103 ADF720954:ADF721103 ANB720954:ANB721103 AWX720954:AWX721103 BGT720954:BGT721103 BQP720954:BQP721103 CAL720954:CAL721103 CKH720954:CKH721103 CUD720954:CUD721103 DDZ720954:DDZ721103 DNV720954:DNV721103 DXR720954:DXR721103 EHN720954:EHN721103 ERJ720954:ERJ721103 FBF720954:FBF721103 FLB720954:FLB721103 FUX720954:FUX721103 GET720954:GET721103 GOP720954:GOP721103 GYL720954:GYL721103 HIH720954:HIH721103 HSD720954:HSD721103 IBZ720954:IBZ721103 ILV720954:ILV721103 IVR720954:IVR721103 JFN720954:JFN721103 JPJ720954:JPJ721103 JZF720954:JZF721103 KJB720954:KJB721103 KSX720954:KSX721103 LCT720954:LCT721103 LMP720954:LMP721103 LWL720954:LWL721103 MGH720954:MGH721103 MQD720954:MQD721103 MZZ720954:MZZ721103 NJV720954:NJV721103 NTR720954:NTR721103 ODN720954:ODN721103 ONJ720954:ONJ721103 OXF720954:OXF721103 PHB720954:PHB721103 PQX720954:PQX721103 QAT720954:QAT721103 QKP720954:QKP721103 QUL720954:QUL721103 REH720954:REH721103 ROD720954:ROD721103 RXZ720954:RXZ721103 SHV720954:SHV721103 SRR720954:SRR721103 TBN720954:TBN721103 TLJ720954:TLJ721103 TVF720954:TVF721103 UFB720954:UFB721103 UOX720954:UOX721103 UYT720954:UYT721103 VIP720954:VIP721103 VSL720954:VSL721103 WCH720954:WCH721103 WMD720954:WMD721103 WVZ720954:WVZ721103 Q786490:Q786639 JN786490:JN786639 TJ786490:TJ786639 ADF786490:ADF786639 ANB786490:ANB786639 AWX786490:AWX786639 BGT786490:BGT786639 BQP786490:BQP786639 CAL786490:CAL786639 CKH786490:CKH786639 CUD786490:CUD786639 DDZ786490:DDZ786639 DNV786490:DNV786639 DXR786490:DXR786639 EHN786490:EHN786639 ERJ786490:ERJ786639 FBF786490:FBF786639 FLB786490:FLB786639 FUX786490:FUX786639 GET786490:GET786639 GOP786490:GOP786639 GYL786490:GYL786639 HIH786490:HIH786639 HSD786490:HSD786639 IBZ786490:IBZ786639 ILV786490:ILV786639 IVR786490:IVR786639 JFN786490:JFN786639 JPJ786490:JPJ786639 JZF786490:JZF786639 KJB786490:KJB786639 KSX786490:KSX786639 LCT786490:LCT786639 LMP786490:LMP786639 LWL786490:LWL786639 MGH786490:MGH786639 MQD786490:MQD786639 MZZ786490:MZZ786639 NJV786490:NJV786639 NTR786490:NTR786639 ODN786490:ODN786639 ONJ786490:ONJ786639 OXF786490:OXF786639 PHB786490:PHB786639 PQX786490:PQX786639 QAT786490:QAT786639 QKP786490:QKP786639 QUL786490:QUL786639 REH786490:REH786639 ROD786490:ROD786639 RXZ786490:RXZ786639 SHV786490:SHV786639 SRR786490:SRR786639 TBN786490:TBN786639 TLJ786490:TLJ786639 TVF786490:TVF786639 UFB786490:UFB786639 UOX786490:UOX786639 UYT786490:UYT786639 VIP786490:VIP786639 VSL786490:VSL786639 WCH786490:WCH786639 WMD786490:WMD786639 WVZ786490:WVZ786639 Q852026:Q852175 JN852026:JN852175 TJ852026:TJ852175 ADF852026:ADF852175 ANB852026:ANB852175 AWX852026:AWX852175 BGT852026:BGT852175 BQP852026:BQP852175 CAL852026:CAL852175 CKH852026:CKH852175 CUD852026:CUD852175 DDZ852026:DDZ852175 DNV852026:DNV852175 DXR852026:DXR852175 EHN852026:EHN852175 ERJ852026:ERJ852175 FBF852026:FBF852175 FLB852026:FLB852175 FUX852026:FUX852175 GET852026:GET852175 GOP852026:GOP852175 GYL852026:GYL852175 HIH852026:HIH852175 HSD852026:HSD852175 IBZ852026:IBZ852175 ILV852026:ILV852175 IVR852026:IVR852175 JFN852026:JFN852175 JPJ852026:JPJ852175 JZF852026:JZF852175 KJB852026:KJB852175 KSX852026:KSX852175 LCT852026:LCT852175 LMP852026:LMP852175 LWL852026:LWL852175 MGH852026:MGH852175 MQD852026:MQD852175 MZZ852026:MZZ852175 NJV852026:NJV852175 NTR852026:NTR852175 ODN852026:ODN852175 ONJ852026:ONJ852175 OXF852026:OXF852175 PHB852026:PHB852175 PQX852026:PQX852175 QAT852026:QAT852175 QKP852026:QKP852175 QUL852026:QUL852175 REH852026:REH852175 ROD852026:ROD852175 RXZ852026:RXZ852175 SHV852026:SHV852175 SRR852026:SRR852175 TBN852026:TBN852175 TLJ852026:TLJ852175 TVF852026:TVF852175 UFB852026:UFB852175 UOX852026:UOX852175 UYT852026:UYT852175 VIP852026:VIP852175 VSL852026:VSL852175 WCH852026:WCH852175 WMD852026:WMD852175 WVZ852026:WVZ852175 Q917562:Q917711 JN917562:JN917711 TJ917562:TJ917711 ADF917562:ADF917711 ANB917562:ANB917711 AWX917562:AWX917711 BGT917562:BGT917711 BQP917562:BQP917711 CAL917562:CAL917711 CKH917562:CKH917711 CUD917562:CUD917711 DDZ917562:DDZ917711 DNV917562:DNV917711 DXR917562:DXR917711 EHN917562:EHN917711 ERJ917562:ERJ917711 FBF917562:FBF917711 FLB917562:FLB917711 FUX917562:FUX917711 GET917562:GET917711 GOP917562:GOP917711 GYL917562:GYL917711 HIH917562:HIH917711 HSD917562:HSD917711 IBZ917562:IBZ917711 ILV917562:ILV917711 IVR917562:IVR917711 JFN917562:JFN917711 JPJ917562:JPJ917711 JZF917562:JZF917711 KJB917562:KJB917711 KSX917562:KSX917711 LCT917562:LCT917711 LMP917562:LMP917711 LWL917562:LWL917711 MGH917562:MGH917711 MQD917562:MQD917711 MZZ917562:MZZ917711 NJV917562:NJV917711 NTR917562:NTR917711 ODN917562:ODN917711 ONJ917562:ONJ917711 OXF917562:OXF917711 PHB917562:PHB917711 PQX917562:PQX917711 QAT917562:QAT917711 QKP917562:QKP917711 QUL917562:QUL917711 REH917562:REH917711 ROD917562:ROD917711 RXZ917562:RXZ917711 SHV917562:SHV917711 SRR917562:SRR917711 TBN917562:TBN917711 TLJ917562:TLJ917711 TVF917562:TVF917711 UFB917562:UFB917711 UOX917562:UOX917711 UYT917562:UYT917711 VIP917562:VIP917711 VSL917562:VSL917711 WCH917562:WCH917711 WMD917562:WMD917711 WVZ917562:WVZ917711 Q983098:Q983247 JN983098:JN983247 TJ983098:TJ983247 ADF983098:ADF983247 ANB983098:ANB983247 AWX983098:AWX983247 BGT983098:BGT983247 BQP983098:BQP983247 CAL983098:CAL983247 CKH983098:CKH983247 CUD983098:CUD983247 DDZ983098:DDZ983247 DNV983098:DNV983247 DXR983098:DXR983247 EHN983098:EHN983247 ERJ983098:ERJ983247 FBF983098:FBF983247 FLB983098:FLB983247 FUX983098:FUX983247 GET983098:GET983247 GOP983098:GOP983247 GYL983098:GYL983247 HIH983098:HIH983247 HSD983098:HSD983247 IBZ983098:IBZ983247 ILV983098:ILV983247 IVR983098:IVR983247 JFN983098:JFN983247 JPJ983098:JPJ983247 JZF983098:JZF983247 KJB983098:KJB983247 KSX983098:KSX983247 LCT983098:LCT983247 LMP983098:LMP983247 LWL983098:LWL983247 MGH983098:MGH983247 MQD983098:MQD983247 MZZ983098:MZZ983247 NJV983098:NJV983247 NTR983098:NTR983247 ODN983098:ODN983247 ONJ983098:ONJ983247 OXF983098:OXF983247 PHB983098:PHB983247 PQX983098:PQX983247 QAT983098:QAT983247 QKP983098:QKP983247 QUL983098:QUL983247 REH983098:REH983247 ROD983098:ROD983247 RXZ983098:RXZ983247 SHV983098:SHV983247 SRR983098:SRR983247 TBN983098:TBN983247 TLJ983098:TLJ983247 TVF983098:TVF983247 UFB983098:UFB983247 UOX983098:UOX983247 UYT983098:UYT983247 VIP983098:VIP983247 VSL983098:VSL983247 WCH983098:WCH983247 WMD983098:WMD983247 Q5:Q207 WVZ66:WVZ207 WMD66:WMD207 WCH66:WCH207 VSL66:VSL207 VIP66:VIP207 UYT66:UYT207 UOX66:UOX207 UFB66:UFB207 TVF66:TVF207 TLJ66:TLJ207 TBN66:TBN207 SRR66:SRR207 SHV66:SHV207 RXZ66:RXZ207 ROD66:ROD207 REH66:REH207 QUL66:QUL207 QKP66:QKP207 QAT66:QAT207 PQX66:PQX207 PHB66:PHB207 OXF66:OXF207 ONJ66:ONJ207 ODN66:ODN207 NTR66:NTR207 NJV66:NJV207 MZZ66:MZZ207 MQD66:MQD207 MGH66:MGH207 LWL66:LWL207 LMP66:LMP207 LCT66:LCT207 KSX66:KSX207 KJB66:KJB207 JZF66:JZF207 JPJ66:JPJ207 JFN66:JFN207 IVR66:IVR207 ILV66:ILV207 IBZ66:IBZ207 HSD66:HSD207 HIH66:HIH207 GYL66:GYL207 GOP66:GOP207 GET66:GET207 FUX66:FUX207 FLB66:FLB207 FBF66:FBF207 ERJ66:ERJ207 EHN66:EHN207 DXR66:DXR207 DNV66:DNV207 DDZ66:DDZ207 CUD66:CUD207 CKH66:CKH207 CAL66:CAL207 BQP66:BQP207 BGT66:BGT207 AWX66:AWX207 ANB66:ANB207 ADF66:ADF207 TJ66:TJ207 JN66:JN207" xr:uid="{E570DF73-D2D2-B148-9F4A-8C055D69F870}">
      <formula1>GC</formula1>
    </dataValidation>
    <dataValidation type="list" allowBlank="1" showInputMessage="1" showErrorMessage="1" sqref="WVY983098:WVY983288 JM12:JM33 TI12:TI33 ADE12:ADE33 ANA12:ANA33 AWW12:AWW33 BGS12:BGS33 BQO12:BQO33 CAK12:CAK33 CKG12:CKG33 CUC12:CUC33 DDY12:DDY33 DNU12:DNU33 DXQ12:DXQ33 EHM12:EHM33 ERI12:ERI33 FBE12:FBE33 FLA12:FLA33 FUW12:FUW33 GES12:GES33 GOO12:GOO33 GYK12:GYK33 HIG12:HIG33 HSC12:HSC33 IBY12:IBY33 ILU12:ILU33 IVQ12:IVQ33 JFM12:JFM33 JPI12:JPI33 JZE12:JZE33 KJA12:KJA33 KSW12:KSW33 LCS12:LCS33 LMO12:LMO33 LWK12:LWK33 MGG12:MGG33 MQC12:MQC33 MZY12:MZY33 NJU12:NJU33 NTQ12:NTQ33 ODM12:ODM33 ONI12:ONI33 OXE12:OXE33 PHA12:PHA33 PQW12:PQW33 QAS12:QAS33 QKO12:QKO33 QUK12:QUK33 REG12:REG33 ROC12:ROC33 RXY12:RXY33 SHU12:SHU33 SRQ12:SRQ33 TBM12:TBM33 TLI12:TLI33 TVE12:TVE33 UFA12:UFA33 UOW12:UOW33 UYS12:UYS33 VIO12:VIO33 VSK12:VSK33 WCG12:WCG33 WMC12:WMC33 WVY12:WVY33 P65540:P65561 JM65540:JM65561 TI65540:TI65561 ADE65540:ADE65561 ANA65540:ANA65561 AWW65540:AWW65561 BGS65540:BGS65561 BQO65540:BQO65561 CAK65540:CAK65561 CKG65540:CKG65561 CUC65540:CUC65561 DDY65540:DDY65561 DNU65540:DNU65561 DXQ65540:DXQ65561 EHM65540:EHM65561 ERI65540:ERI65561 FBE65540:FBE65561 FLA65540:FLA65561 FUW65540:FUW65561 GES65540:GES65561 GOO65540:GOO65561 GYK65540:GYK65561 HIG65540:HIG65561 HSC65540:HSC65561 IBY65540:IBY65561 ILU65540:ILU65561 IVQ65540:IVQ65561 JFM65540:JFM65561 JPI65540:JPI65561 JZE65540:JZE65561 KJA65540:KJA65561 KSW65540:KSW65561 LCS65540:LCS65561 LMO65540:LMO65561 LWK65540:LWK65561 MGG65540:MGG65561 MQC65540:MQC65561 MZY65540:MZY65561 NJU65540:NJU65561 NTQ65540:NTQ65561 ODM65540:ODM65561 ONI65540:ONI65561 OXE65540:OXE65561 PHA65540:PHA65561 PQW65540:PQW65561 QAS65540:QAS65561 QKO65540:QKO65561 QUK65540:QUK65561 REG65540:REG65561 ROC65540:ROC65561 RXY65540:RXY65561 SHU65540:SHU65561 SRQ65540:SRQ65561 TBM65540:TBM65561 TLI65540:TLI65561 TVE65540:TVE65561 UFA65540:UFA65561 UOW65540:UOW65561 UYS65540:UYS65561 VIO65540:VIO65561 VSK65540:VSK65561 WCG65540:WCG65561 WMC65540:WMC65561 WVY65540:WVY65561 P131076:P131097 JM131076:JM131097 TI131076:TI131097 ADE131076:ADE131097 ANA131076:ANA131097 AWW131076:AWW131097 BGS131076:BGS131097 BQO131076:BQO131097 CAK131076:CAK131097 CKG131076:CKG131097 CUC131076:CUC131097 DDY131076:DDY131097 DNU131076:DNU131097 DXQ131076:DXQ131097 EHM131076:EHM131097 ERI131076:ERI131097 FBE131076:FBE131097 FLA131076:FLA131097 FUW131076:FUW131097 GES131076:GES131097 GOO131076:GOO131097 GYK131076:GYK131097 HIG131076:HIG131097 HSC131076:HSC131097 IBY131076:IBY131097 ILU131076:ILU131097 IVQ131076:IVQ131097 JFM131076:JFM131097 JPI131076:JPI131097 JZE131076:JZE131097 KJA131076:KJA131097 KSW131076:KSW131097 LCS131076:LCS131097 LMO131076:LMO131097 LWK131076:LWK131097 MGG131076:MGG131097 MQC131076:MQC131097 MZY131076:MZY131097 NJU131076:NJU131097 NTQ131076:NTQ131097 ODM131076:ODM131097 ONI131076:ONI131097 OXE131076:OXE131097 PHA131076:PHA131097 PQW131076:PQW131097 QAS131076:QAS131097 QKO131076:QKO131097 QUK131076:QUK131097 REG131076:REG131097 ROC131076:ROC131097 RXY131076:RXY131097 SHU131076:SHU131097 SRQ131076:SRQ131097 TBM131076:TBM131097 TLI131076:TLI131097 TVE131076:TVE131097 UFA131076:UFA131097 UOW131076:UOW131097 UYS131076:UYS131097 VIO131076:VIO131097 VSK131076:VSK131097 WCG131076:WCG131097 WMC131076:WMC131097 WVY131076:WVY131097 P196612:P196633 JM196612:JM196633 TI196612:TI196633 ADE196612:ADE196633 ANA196612:ANA196633 AWW196612:AWW196633 BGS196612:BGS196633 BQO196612:BQO196633 CAK196612:CAK196633 CKG196612:CKG196633 CUC196612:CUC196633 DDY196612:DDY196633 DNU196612:DNU196633 DXQ196612:DXQ196633 EHM196612:EHM196633 ERI196612:ERI196633 FBE196612:FBE196633 FLA196612:FLA196633 FUW196612:FUW196633 GES196612:GES196633 GOO196612:GOO196633 GYK196612:GYK196633 HIG196612:HIG196633 HSC196612:HSC196633 IBY196612:IBY196633 ILU196612:ILU196633 IVQ196612:IVQ196633 JFM196612:JFM196633 JPI196612:JPI196633 JZE196612:JZE196633 KJA196612:KJA196633 KSW196612:KSW196633 LCS196612:LCS196633 LMO196612:LMO196633 LWK196612:LWK196633 MGG196612:MGG196633 MQC196612:MQC196633 MZY196612:MZY196633 NJU196612:NJU196633 NTQ196612:NTQ196633 ODM196612:ODM196633 ONI196612:ONI196633 OXE196612:OXE196633 PHA196612:PHA196633 PQW196612:PQW196633 QAS196612:QAS196633 QKO196612:QKO196633 QUK196612:QUK196633 REG196612:REG196633 ROC196612:ROC196633 RXY196612:RXY196633 SHU196612:SHU196633 SRQ196612:SRQ196633 TBM196612:TBM196633 TLI196612:TLI196633 TVE196612:TVE196633 UFA196612:UFA196633 UOW196612:UOW196633 UYS196612:UYS196633 VIO196612:VIO196633 VSK196612:VSK196633 WCG196612:WCG196633 WMC196612:WMC196633 WVY196612:WVY196633 P262148:P262169 JM262148:JM262169 TI262148:TI262169 ADE262148:ADE262169 ANA262148:ANA262169 AWW262148:AWW262169 BGS262148:BGS262169 BQO262148:BQO262169 CAK262148:CAK262169 CKG262148:CKG262169 CUC262148:CUC262169 DDY262148:DDY262169 DNU262148:DNU262169 DXQ262148:DXQ262169 EHM262148:EHM262169 ERI262148:ERI262169 FBE262148:FBE262169 FLA262148:FLA262169 FUW262148:FUW262169 GES262148:GES262169 GOO262148:GOO262169 GYK262148:GYK262169 HIG262148:HIG262169 HSC262148:HSC262169 IBY262148:IBY262169 ILU262148:ILU262169 IVQ262148:IVQ262169 JFM262148:JFM262169 JPI262148:JPI262169 JZE262148:JZE262169 KJA262148:KJA262169 KSW262148:KSW262169 LCS262148:LCS262169 LMO262148:LMO262169 LWK262148:LWK262169 MGG262148:MGG262169 MQC262148:MQC262169 MZY262148:MZY262169 NJU262148:NJU262169 NTQ262148:NTQ262169 ODM262148:ODM262169 ONI262148:ONI262169 OXE262148:OXE262169 PHA262148:PHA262169 PQW262148:PQW262169 QAS262148:QAS262169 QKO262148:QKO262169 QUK262148:QUK262169 REG262148:REG262169 ROC262148:ROC262169 RXY262148:RXY262169 SHU262148:SHU262169 SRQ262148:SRQ262169 TBM262148:TBM262169 TLI262148:TLI262169 TVE262148:TVE262169 UFA262148:UFA262169 UOW262148:UOW262169 UYS262148:UYS262169 VIO262148:VIO262169 VSK262148:VSK262169 WCG262148:WCG262169 WMC262148:WMC262169 WVY262148:WVY262169 P327684:P327705 JM327684:JM327705 TI327684:TI327705 ADE327684:ADE327705 ANA327684:ANA327705 AWW327684:AWW327705 BGS327684:BGS327705 BQO327684:BQO327705 CAK327684:CAK327705 CKG327684:CKG327705 CUC327684:CUC327705 DDY327684:DDY327705 DNU327684:DNU327705 DXQ327684:DXQ327705 EHM327684:EHM327705 ERI327684:ERI327705 FBE327684:FBE327705 FLA327684:FLA327705 FUW327684:FUW327705 GES327684:GES327705 GOO327684:GOO327705 GYK327684:GYK327705 HIG327684:HIG327705 HSC327684:HSC327705 IBY327684:IBY327705 ILU327684:ILU327705 IVQ327684:IVQ327705 JFM327684:JFM327705 JPI327684:JPI327705 JZE327684:JZE327705 KJA327684:KJA327705 KSW327684:KSW327705 LCS327684:LCS327705 LMO327684:LMO327705 LWK327684:LWK327705 MGG327684:MGG327705 MQC327684:MQC327705 MZY327684:MZY327705 NJU327684:NJU327705 NTQ327684:NTQ327705 ODM327684:ODM327705 ONI327684:ONI327705 OXE327684:OXE327705 PHA327684:PHA327705 PQW327684:PQW327705 QAS327684:QAS327705 QKO327684:QKO327705 QUK327684:QUK327705 REG327684:REG327705 ROC327684:ROC327705 RXY327684:RXY327705 SHU327684:SHU327705 SRQ327684:SRQ327705 TBM327684:TBM327705 TLI327684:TLI327705 TVE327684:TVE327705 UFA327684:UFA327705 UOW327684:UOW327705 UYS327684:UYS327705 VIO327684:VIO327705 VSK327684:VSK327705 WCG327684:WCG327705 WMC327684:WMC327705 WVY327684:WVY327705 P393220:P393241 JM393220:JM393241 TI393220:TI393241 ADE393220:ADE393241 ANA393220:ANA393241 AWW393220:AWW393241 BGS393220:BGS393241 BQO393220:BQO393241 CAK393220:CAK393241 CKG393220:CKG393241 CUC393220:CUC393241 DDY393220:DDY393241 DNU393220:DNU393241 DXQ393220:DXQ393241 EHM393220:EHM393241 ERI393220:ERI393241 FBE393220:FBE393241 FLA393220:FLA393241 FUW393220:FUW393241 GES393220:GES393241 GOO393220:GOO393241 GYK393220:GYK393241 HIG393220:HIG393241 HSC393220:HSC393241 IBY393220:IBY393241 ILU393220:ILU393241 IVQ393220:IVQ393241 JFM393220:JFM393241 JPI393220:JPI393241 JZE393220:JZE393241 KJA393220:KJA393241 KSW393220:KSW393241 LCS393220:LCS393241 LMO393220:LMO393241 LWK393220:LWK393241 MGG393220:MGG393241 MQC393220:MQC393241 MZY393220:MZY393241 NJU393220:NJU393241 NTQ393220:NTQ393241 ODM393220:ODM393241 ONI393220:ONI393241 OXE393220:OXE393241 PHA393220:PHA393241 PQW393220:PQW393241 QAS393220:QAS393241 QKO393220:QKO393241 QUK393220:QUK393241 REG393220:REG393241 ROC393220:ROC393241 RXY393220:RXY393241 SHU393220:SHU393241 SRQ393220:SRQ393241 TBM393220:TBM393241 TLI393220:TLI393241 TVE393220:TVE393241 UFA393220:UFA393241 UOW393220:UOW393241 UYS393220:UYS393241 VIO393220:VIO393241 VSK393220:VSK393241 WCG393220:WCG393241 WMC393220:WMC393241 WVY393220:WVY393241 P458756:P458777 JM458756:JM458777 TI458756:TI458777 ADE458756:ADE458777 ANA458756:ANA458777 AWW458756:AWW458777 BGS458756:BGS458777 BQO458756:BQO458777 CAK458756:CAK458777 CKG458756:CKG458777 CUC458756:CUC458777 DDY458756:DDY458777 DNU458756:DNU458777 DXQ458756:DXQ458777 EHM458756:EHM458777 ERI458756:ERI458777 FBE458756:FBE458777 FLA458756:FLA458777 FUW458756:FUW458777 GES458756:GES458777 GOO458756:GOO458777 GYK458756:GYK458777 HIG458756:HIG458777 HSC458756:HSC458777 IBY458756:IBY458777 ILU458756:ILU458777 IVQ458756:IVQ458777 JFM458756:JFM458777 JPI458756:JPI458777 JZE458756:JZE458777 KJA458756:KJA458777 KSW458756:KSW458777 LCS458756:LCS458777 LMO458756:LMO458777 LWK458756:LWK458777 MGG458756:MGG458777 MQC458756:MQC458777 MZY458756:MZY458777 NJU458756:NJU458777 NTQ458756:NTQ458777 ODM458756:ODM458777 ONI458756:ONI458777 OXE458756:OXE458777 PHA458756:PHA458777 PQW458756:PQW458777 QAS458756:QAS458777 QKO458756:QKO458777 QUK458756:QUK458777 REG458756:REG458777 ROC458756:ROC458777 RXY458756:RXY458777 SHU458756:SHU458777 SRQ458756:SRQ458777 TBM458756:TBM458777 TLI458756:TLI458777 TVE458756:TVE458777 UFA458756:UFA458777 UOW458756:UOW458777 UYS458756:UYS458777 VIO458756:VIO458777 VSK458756:VSK458777 WCG458756:WCG458777 WMC458756:WMC458777 WVY458756:WVY458777 P524292:P524313 JM524292:JM524313 TI524292:TI524313 ADE524292:ADE524313 ANA524292:ANA524313 AWW524292:AWW524313 BGS524292:BGS524313 BQO524292:BQO524313 CAK524292:CAK524313 CKG524292:CKG524313 CUC524292:CUC524313 DDY524292:DDY524313 DNU524292:DNU524313 DXQ524292:DXQ524313 EHM524292:EHM524313 ERI524292:ERI524313 FBE524292:FBE524313 FLA524292:FLA524313 FUW524292:FUW524313 GES524292:GES524313 GOO524292:GOO524313 GYK524292:GYK524313 HIG524292:HIG524313 HSC524292:HSC524313 IBY524292:IBY524313 ILU524292:ILU524313 IVQ524292:IVQ524313 JFM524292:JFM524313 JPI524292:JPI524313 JZE524292:JZE524313 KJA524292:KJA524313 KSW524292:KSW524313 LCS524292:LCS524313 LMO524292:LMO524313 LWK524292:LWK524313 MGG524292:MGG524313 MQC524292:MQC524313 MZY524292:MZY524313 NJU524292:NJU524313 NTQ524292:NTQ524313 ODM524292:ODM524313 ONI524292:ONI524313 OXE524292:OXE524313 PHA524292:PHA524313 PQW524292:PQW524313 QAS524292:QAS524313 QKO524292:QKO524313 QUK524292:QUK524313 REG524292:REG524313 ROC524292:ROC524313 RXY524292:RXY524313 SHU524292:SHU524313 SRQ524292:SRQ524313 TBM524292:TBM524313 TLI524292:TLI524313 TVE524292:TVE524313 UFA524292:UFA524313 UOW524292:UOW524313 UYS524292:UYS524313 VIO524292:VIO524313 VSK524292:VSK524313 WCG524292:WCG524313 WMC524292:WMC524313 WVY524292:WVY524313 P589828:P589849 JM589828:JM589849 TI589828:TI589849 ADE589828:ADE589849 ANA589828:ANA589849 AWW589828:AWW589849 BGS589828:BGS589849 BQO589828:BQO589849 CAK589828:CAK589849 CKG589828:CKG589849 CUC589828:CUC589849 DDY589828:DDY589849 DNU589828:DNU589849 DXQ589828:DXQ589849 EHM589828:EHM589849 ERI589828:ERI589849 FBE589828:FBE589849 FLA589828:FLA589849 FUW589828:FUW589849 GES589828:GES589849 GOO589828:GOO589849 GYK589828:GYK589849 HIG589828:HIG589849 HSC589828:HSC589849 IBY589828:IBY589849 ILU589828:ILU589849 IVQ589828:IVQ589849 JFM589828:JFM589849 JPI589828:JPI589849 JZE589828:JZE589849 KJA589828:KJA589849 KSW589828:KSW589849 LCS589828:LCS589849 LMO589828:LMO589849 LWK589828:LWK589849 MGG589828:MGG589849 MQC589828:MQC589849 MZY589828:MZY589849 NJU589828:NJU589849 NTQ589828:NTQ589849 ODM589828:ODM589849 ONI589828:ONI589849 OXE589828:OXE589849 PHA589828:PHA589849 PQW589828:PQW589849 QAS589828:QAS589849 QKO589828:QKO589849 QUK589828:QUK589849 REG589828:REG589849 ROC589828:ROC589849 RXY589828:RXY589849 SHU589828:SHU589849 SRQ589828:SRQ589849 TBM589828:TBM589849 TLI589828:TLI589849 TVE589828:TVE589849 UFA589828:UFA589849 UOW589828:UOW589849 UYS589828:UYS589849 VIO589828:VIO589849 VSK589828:VSK589849 WCG589828:WCG589849 WMC589828:WMC589849 WVY589828:WVY589849 P655364:P655385 JM655364:JM655385 TI655364:TI655385 ADE655364:ADE655385 ANA655364:ANA655385 AWW655364:AWW655385 BGS655364:BGS655385 BQO655364:BQO655385 CAK655364:CAK655385 CKG655364:CKG655385 CUC655364:CUC655385 DDY655364:DDY655385 DNU655364:DNU655385 DXQ655364:DXQ655385 EHM655364:EHM655385 ERI655364:ERI655385 FBE655364:FBE655385 FLA655364:FLA655385 FUW655364:FUW655385 GES655364:GES655385 GOO655364:GOO655385 GYK655364:GYK655385 HIG655364:HIG655385 HSC655364:HSC655385 IBY655364:IBY655385 ILU655364:ILU655385 IVQ655364:IVQ655385 JFM655364:JFM655385 JPI655364:JPI655385 JZE655364:JZE655385 KJA655364:KJA655385 KSW655364:KSW655385 LCS655364:LCS655385 LMO655364:LMO655385 LWK655364:LWK655385 MGG655364:MGG655385 MQC655364:MQC655385 MZY655364:MZY655385 NJU655364:NJU655385 NTQ655364:NTQ655385 ODM655364:ODM655385 ONI655364:ONI655385 OXE655364:OXE655385 PHA655364:PHA655385 PQW655364:PQW655385 QAS655364:QAS655385 QKO655364:QKO655385 QUK655364:QUK655385 REG655364:REG655385 ROC655364:ROC655385 RXY655364:RXY655385 SHU655364:SHU655385 SRQ655364:SRQ655385 TBM655364:TBM655385 TLI655364:TLI655385 TVE655364:TVE655385 UFA655364:UFA655385 UOW655364:UOW655385 UYS655364:UYS655385 VIO655364:VIO655385 VSK655364:VSK655385 WCG655364:WCG655385 WMC655364:WMC655385 WVY655364:WVY655385 P720900:P720921 JM720900:JM720921 TI720900:TI720921 ADE720900:ADE720921 ANA720900:ANA720921 AWW720900:AWW720921 BGS720900:BGS720921 BQO720900:BQO720921 CAK720900:CAK720921 CKG720900:CKG720921 CUC720900:CUC720921 DDY720900:DDY720921 DNU720900:DNU720921 DXQ720900:DXQ720921 EHM720900:EHM720921 ERI720900:ERI720921 FBE720900:FBE720921 FLA720900:FLA720921 FUW720900:FUW720921 GES720900:GES720921 GOO720900:GOO720921 GYK720900:GYK720921 HIG720900:HIG720921 HSC720900:HSC720921 IBY720900:IBY720921 ILU720900:ILU720921 IVQ720900:IVQ720921 JFM720900:JFM720921 JPI720900:JPI720921 JZE720900:JZE720921 KJA720900:KJA720921 KSW720900:KSW720921 LCS720900:LCS720921 LMO720900:LMO720921 LWK720900:LWK720921 MGG720900:MGG720921 MQC720900:MQC720921 MZY720900:MZY720921 NJU720900:NJU720921 NTQ720900:NTQ720921 ODM720900:ODM720921 ONI720900:ONI720921 OXE720900:OXE720921 PHA720900:PHA720921 PQW720900:PQW720921 QAS720900:QAS720921 QKO720900:QKO720921 QUK720900:QUK720921 REG720900:REG720921 ROC720900:ROC720921 RXY720900:RXY720921 SHU720900:SHU720921 SRQ720900:SRQ720921 TBM720900:TBM720921 TLI720900:TLI720921 TVE720900:TVE720921 UFA720900:UFA720921 UOW720900:UOW720921 UYS720900:UYS720921 VIO720900:VIO720921 VSK720900:VSK720921 WCG720900:WCG720921 WMC720900:WMC720921 WVY720900:WVY720921 P786436:P786457 JM786436:JM786457 TI786436:TI786457 ADE786436:ADE786457 ANA786436:ANA786457 AWW786436:AWW786457 BGS786436:BGS786457 BQO786436:BQO786457 CAK786436:CAK786457 CKG786436:CKG786457 CUC786436:CUC786457 DDY786436:DDY786457 DNU786436:DNU786457 DXQ786436:DXQ786457 EHM786436:EHM786457 ERI786436:ERI786457 FBE786436:FBE786457 FLA786436:FLA786457 FUW786436:FUW786457 GES786436:GES786457 GOO786436:GOO786457 GYK786436:GYK786457 HIG786436:HIG786457 HSC786436:HSC786457 IBY786436:IBY786457 ILU786436:ILU786457 IVQ786436:IVQ786457 JFM786436:JFM786457 JPI786436:JPI786457 JZE786436:JZE786457 KJA786436:KJA786457 KSW786436:KSW786457 LCS786436:LCS786457 LMO786436:LMO786457 LWK786436:LWK786457 MGG786436:MGG786457 MQC786436:MQC786457 MZY786436:MZY786457 NJU786436:NJU786457 NTQ786436:NTQ786457 ODM786436:ODM786457 ONI786436:ONI786457 OXE786436:OXE786457 PHA786436:PHA786457 PQW786436:PQW786457 QAS786436:QAS786457 QKO786436:QKO786457 QUK786436:QUK786457 REG786436:REG786457 ROC786436:ROC786457 RXY786436:RXY786457 SHU786436:SHU786457 SRQ786436:SRQ786457 TBM786436:TBM786457 TLI786436:TLI786457 TVE786436:TVE786457 UFA786436:UFA786457 UOW786436:UOW786457 UYS786436:UYS786457 VIO786436:VIO786457 VSK786436:VSK786457 WCG786436:WCG786457 WMC786436:WMC786457 WVY786436:WVY786457 P851972:P851993 JM851972:JM851993 TI851972:TI851993 ADE851972:ADE851993 ANA851972:ANA851993 AWW851972:AWW851993 BGS851972:BGS851993 BQO851972:BQO851993 CAK851972:CAK851993 CKG851972:CKG851993 CUC851972:CUC851993 DDY851972:DDY851993 DNU851972:DNU851993 DXQ851972:DXQ851993 EHM851972:EHM851993 ERI851972:ERI851993 FBE851972:FBE851993 FLA851972:FLA851993 FUW851972:FUW851993 GES851972:GES851993 GOO851972:GOO851993 GYK851972:GYK851993 HIG851972:HIG851993 HSC851972:HSC851993 IBY851972:IBY851993 ILU851972:ILU851993 IVQ851972:IVQ851993 JFM851972:JFM851993 JPI851972:JPI851993 JZE851972:JZE851993 KJA851972:KJA851993 KSW851972:KSW851993 LCS851972:LCS851993 LMO851972:LMO851993 LWK851972:LWK851993 MGG851972:MGG851993 MQC851972:MQC851993 MZY851972:MZY851993 NJU851972:NJU851993 NTQ851972:NTQ851993 ODM851972:ODM851993 ONI851972:ONI851993 OXE851972:OXE851993 PHA851972:PHA851993 PQW851972:PQW851993 QAS851972:QAS851993 QKO851972:QKO851993 QUK851972:QUK851993 REG851972:REG851993 ROC851972:ROC851993 RXY851972:RXY851993 SHU851972:SHU851993 SRQ851972:SRQ851993 TBM851972:TBM851993 TLI851972:TLI851993 TVE851972:TVE851993 UFA851972:UFA851993 UOW851972:UOW851993 UYS851972:UYS851993 VIO851972:VIO851993 VSK851972:VSK851993 WCG851972:WCG851993 WMC851972:WMC851993 WVY851972:WVY851993 P917508:P917529 JM917508:JM917529 TI917508:TI917529 ADE917508:ADE917529 ANA917508:ANA917529 AWW917508:AWW917529 BGS917508:BGS917529 BQO917508:BQO917529 CAK917508:CAK917529 CKG917508:CKG917529 CUC917508:CUC917529 DDY917508:DDY917529 DNU917508:DNU917529 DXQ917508:DXQ917529 EHM917508:EHM917529 ERI917508:ERI917529 FBE917508:FBE917529 FLA917508:FLA917529 FUW917508:FUW917529 GES917508:GES917529 GOO917508:GOO917529 GYK917508:GYK917529 HIG917508:HIG917529 HSC917508:HSC917529 IBY917508:IBY917529 ILU917508:ILU917529 IVQ917508:IVQ917529 JFM917508:JFM917529 JPI917508:JPI917529 JZE917508:JZE917529 KJA917508:KJA917529 KSW917508:KSW917529 LCS917508:LCS917529 LMO917508:LMO917529 LWK917508:LWK917529 MGG917508:MGG917529 MQC917508:MQC917529 MZY917508:MZY917529 NJU917508:NJU917529 NTQ917508:NTQ917529 ODM917508:ODM917529 ONI917508:ONI917529 OXE917508:OXE917529 PHA917508:PHA917529 PQW917508:PQW917529 QAS917508:QAS917529 QKO917508:QKO917529 QUK917508:QUK917529 REG917508:REG917529 ROC917508:ROC917529 RXY917508:RXY917529 SHU917508:SHU917529 SRQ917508:SRQ917529 TBM917508:TBM917529 TLI917508:TLI917529 TVE917508:TVE917529 UFA917508:UFA917529 UOW917508:UOW917529 UYS917508:UYS917529 VIO917508:VIO917529 VSK917508:VSK917529 WCG917508:WCG917529 WMC917508:WMC917529 WVY917508:WVY917529 P983044:P983065 JM983044:JM983065 TI983044:TI983065 ADE983044:ADE983065 ANA983044:ANA983065 AWW983044:AWW983065 BGS983044:BGS983065 BQO983044:BQO983065 CAK983044:CAK983065 CKG983044:CKG983065 CUC983044:CUC983065 DDY983044:DDY983065 DNU983044:DNU983065 DXQ983044:DXQ983065 EHM983044:EHM983065 ERI983044:ERI983065 FBE983044:FBE983065 FLA983044:FLA983065 FUW983044:FUW983065 GES983044:GES983065 GOO983044:GOO983065 GYK983044:GYK983065 HIG983044:HIG983065 HSC983044:HSC983065 IBY983044:IBY983065 ILU983044:ILU983065 IVQ983044:IVQ983065 JFM983044:JFM983065 JPI983044:JPI983065 JZE983044:JZE983065 KJA983044:KJA983065 KSW983044:KSW983065 LCS983044:LCS983065 LMO983044:LMO983065 LWK983044:LWK983065 MGG983044:MGG983065 MQC983044:MQC983065 MZY983044:MZY983065 NJU983044:NJU983065 NTQ983044:NTQ983065 ODM983044:ODM983065 ONI983044:ONI983065 OXE983044:OXE983065 PHA983044:PHA983065 PQW983044:PQW983065 QAS983044:QAS983065 QKO983044:QKO983065 QUK983044:QUK983065 REG983044:REG983065 ROC983044:ROC983065 RXY983044:RXY983065 SHU983044:SHU983065 SRQ983044:SRQ983065 TBM983044:TBM983065 TLI983044:TLI983065 TVE983044:TVE983065 UFA983044:UFA983065 UOW983044:UOW983065 UYS983044:UYS983065 VIO983044:VIO983065 VSK983044:VSK983065 WCG983044:WCG983065 WMC983044:WMC983065 WVY983044:WVY983065 P65594:P65784 JM65594:JM65784 TI65594:TI65784 ADE65594:ADE65784 ANA65594:ANA65784 AWW65594:AWW65784 BGS65594:BGS65784 BQO65594:BQO65784 CAK65594:CAK65784 CKG65594:CKG65784 CUC65594:CUC65784 DDY65594:DDY65784 DNU65594:DNU65784 DXQ65594:DXQ65784 EHM65594:EHM65784 ERI65594:ERI65784 FBE65594:FBE65784 FLA65594:FLA65784 FUW65594:FUW65784 GES65594:GES65784 GOO65594:GOO65784 GYK65594:GYK65784 HIG65594:HIG65784 HSC65594:HSC65784 IBY65594:IBY65784 ILU65594:ILU65784 IVQ65594:IVQ65784 JFM65594:JFM65784 JPI65594:JPI65784 JZE65594:JZE65784 KJA65594:KJA65784 KSW65594:KSW65784 LCS65594:LCS65784 LMO65594:LMO65784 LWK65594:LWK65784 MGG65594:MGG65784 MQC65594:MQC65784 MZY65594:MZY65784 NJU65594:NJU65784 NTQ65594:NTQ65784 ODM65594:ODM65784 ONI65594:ONI65784 OXE65594:OXE65784 PHA65594:PHA65784 PQW65594:PQW65784 QAS65594:QAS65784 QKO65594:QKO65784 QUK65594:QUK65784 REG65594:REG65784 ROC65594:ROC65784 RXY65594:RXY65784 SHU65594:SHU65784 SRQ65594:SRQ65784 TBM65594:TBM65784 TLI65594:TLI65784 TVE65594:TVE65784 UFA65594:UFA65784 UOW65594:UOW65784 UYS65594:UYS65784 VIO65594:VIO65784 VSK65594:VSK65784 WCG65594:WCG65784 WMC65594:WMC65784 WVY65594:WVY65784 P131130:P131320 JM131130:JM131320 TI131130:TI131320 ADE131130:ADE131320 ANA131130:ANA131320 AWW131130:AWW131320 BGS131130:BGS131320 BQO131130:BQO131320 CAK131130:CAK131320 CKG131130:CKG131320 CUC131130:CUC131320 DDY131130:DDY131320 DNU131130:DNU131320 DXQ131130:DXQ131320 EHM131130:EHM131320 ERI131130:ERI131320 FBE131130:FBE131320 FLA131130:FLA131320 FUW131130:FUW131320 GES131130:GES131320 GOO131130:GOO131320 GYK131130:GYK131320 HIG131130:HIG131320 HSC131130:HSC131320 IBY131130:IBY131320 ILU131130:ILU131320 IVQ131130:IVQ131320 JFM131130:JFM131320 JPI131130:JPI131320 JZE131130:JZE131320 KJA131130:KJA131320 KSW131130:KSW131320 LCS131130:LCS131320 LMO131130:LMO131320 LWK131130:LWK131320 MGG131130:MGG131320 MQC131130:MQC131320 MZY131130:MZY131320 NJU131130:NJU131320 NTQ131130:NTQ131320 ODM131130:ODM131320 ONI131130:ONI131320 OXE131130:OXE131320 PHA131130:PHA131320 PQW131130:PQW131320 QAS131130:QAS131320 QKO131130:QKO131320 QUK131130:QUK131320 REG131130:REG131320 ROC131130:ROC131320 RXY131130:RXY131320 SHU131130:SHU131320 SRQ131130:SRQ131320 TBM131130:TBM131320 TLI131130:TLI131320 TVE131130:TVE131320 UFA131130:UFA131320 UOW131130:UOW131320 UYS131130:UYS131320 VIO131130:VIO131320 VSK131130:VSK131320 WCG131130:WCG131320 WMC131130:WMC131320 WVY131130:WVY131320 P196666:P196856 JM196666:JM196856 TI196666:TI196856 ADE196666:ADE196856 ANA196666:ANA196856 AWW196666:AWW196856 BGS196666:BGS196856 BQO196666:BQO196856 CAK196666:CAK196856 CKG196666:CKG196856 CUC196666:CUC196856 DDY196666:DDY196856 DNU196666:DNU196856 DXQ196666:DXQ196856 EHM196666:EHM196856 ERI196666:ERI196856 FBE196666:FBE196856 FLA196666:FLA196856 FUW196666:FUW196856 GES196666:GES196856 GOO196666:GOO196856 GYK196666:GYK196856 HIG196666:HIG196856 HSC196666:HSC196856 IBY196666:IBY196856 ILU196666:ILU196856 IVQ196666:IVQ196856 JFM196666:JFM196856 JPI196666:JPI196856 JZE196666:JZE196856 KJA196666:KJA196856 KSW196666:KSW196856 LCS196666:LCS196856 LMO196666:LMO196856 LWK196666:LWK196856 MGG196666:MGG196856 MQC196666:MQC196856 MZY196666:MZY196856 NJU196666:NJU196856 NTQ196666:NTQ196856 ODM196666:ODM196856 ONI196666:ONI196856 OXE196666:OXE196856 PHA196666:PHA196856 PQW196666:PQW196856 QAS196666:QAS196856 QKO196666:QKO196856 QUK196666:QUK196856 REG196666:REG196856 ROC196666:ROC196856 RXY196666:RXY196856 SHU196666:SHU196856 SRQ196666:SRQ196856 TBM196666:TBM196856 TLI196666:TLI196856 TVE196666:TVE196856 UFA196666:UFA196856 UOW196666:UOW196856 UYS196666:UYS196856 VIO196666:VIO196856 VSK196666:VSK196856 WCG196666:WCG196856 WMC196666:WMC196856 WVY196666:WVY196856 P262202:P262392 JM262202:JM262392 TI262202:TI262392 ADE262202:ADE262392 ANA262202:ANA262392 AWW262202:AWW262392 BGS262202:BGS262392 BQO262202:BQO262392 CAK262202:CAK262392 CKG262202:CKG262392 CUC262202:CUC262392 DDY262202:DDY262392 DNU262202:DNU262392 DXQ262202:DXQ262392 EHM262202:EHM262392 ERI262202:ERI262392 FBE262202:FBE262392 FLA262202:FLA262392 FUW262202:FUW262392 GES262202:GES262392 GOO262202:GOO262392 GYK262202:GYK262392 HIG262202:HIG262392 HSC262202:HSC262392 IBY262202:IBY262392 ILU262202:ILU262392 IVQ262202:IVQ262392 JFM262202:JFM262392 JPI262202:JPI262392 JZE262202:JZE262392 KJA262202:KJA262392 KSW262202:KSW262392 LCS262202:LCS262392 LMO262202:LMO262392 LWK262202:LWK262392 MGG262202:MGG262392 MQC262202:MQC262392 MZY262202:MZY262392 NJU262202:NJU262392 NTQ262202:NTQ262392 ODM262202:ODM262392 ONI262202:ONI262392 OXE262202:OXE262392 PHA262202:PHA262392 PQW262202:PQW262392 QAS262202:QAS262392 QKO262202:QKO262392 QUK262202:QUK262392 REG262202:REG262392 ROC262202:ROC262392 RXY262202:RXY262392 SHU262202:SHU262392 SRQ262202:SRQ262392 TBM262202:TBM262392 TLI262202:TLI262392 TVE262202:TVE262392 UFA262202:UFA262392 UOW262202:UOW262392 UYS262202:UYS262392 VIO262202:VIO262392 VSK262202:VSK262392 WCG262202:WCG262392 WMC262202:WMC262392 WVY262202:WVY262392 P327738:P327928 JM327738:JM327928 TI327738:TI327928 ADE327738:ADE327928 ANA327738:ANA327928 AWW327738:AWW327928 BGS327738:BGS327928 BQO327738:BQO327928 CAK327738:CAK327928 CKG327738:CKG327928 CUC327738:CUC327928 DDY327738:DDY327928 DNU327738:DNU327928 DXQ327738:DXQ327928 EHM327738:EHM327928 ERI327738:ERI327928 FBE327738:FBE327928 FLA327738:FLA327928 FUW327738:FUW327928 GES327738:GES327928 GOO327738:GOO327928 GYK327738:GYK327928 HIG327738:HIG327928 HSC327738:HSC327928 IBY327738:IBY327928 ILU327738:ILU327928 IVQ327738:IVQ327928 JFM327738:JFM327928 JPI327738:JPI327928 JZE327738:JZE327928 KJA327738:KJA327928 KSW327738:KSW327928 LCS327738:LCS327928 LMO327738:LMO327928 LWK327738:LWK327928 MGG327738:MGG327928 MQC327738:MQC327928 MZY327738:MZY327928 NJU327738:NJU327928 NTQ327738:NTQ327928 ODM327738:ODM327928 ONI327738:ONI327928 OXE327738:OXE327928 PHA327738:PHA327928 PQW327738:PQW327928 QAS327738:QAS327928 QKO327738:QKO327928 QUK327738:QUK327928 REG327738:REG327928 ROC327738:ROC327928 RXY327738:RXY327928 SHU327738:SHU327928 SRQ327738:SRQ327928 TBM327738:TBM327928 TLI327738:TLI327928 TVE327738:TVE327928 UFA327738:UFA327928 UOW327738:UOW327928 UYS327738:UYS327928 VIO327738:VIO327928 VSK327738:VSK327928 WCG327738:WCG327928 WMC327738:WMC327928 WVY327738:WVY327928 P393274:P393464 JM393274:JM393464 TI393274:TI393464 ADE393274:ADE393464 ANA393274:ANA393464 AWW393274:AWW393464 BGS393274:BGS393464 BQO393274:BQO393464 CAK393274:CAK393464 CKG393274:CKG393464 CUC393274:CUC393464 DDY393274:DDY393464 DNU393274:DNU393464 DXQ393274:DXQ393464 EHM393274:EHM393464 ERI393274:ERI393464 FBE393274:FBE393464 FLA393274:FLA393464 FUW393274:FUW393464 GES393274:GES393464 GOO393274:GOO393464 GYK393274:GYK393464 HIG393274:HIG393464 HSC393274:HSC393464 IBY393274:IBY393464 ILU393274:ILU393464 IVQ393274:IVQ393464 JFM393274:JFM393464 JPI393274:JPI393464 JZE393274:JZE393464 KJA393274:KJA393464 KSW393274:KSW393464 LCS393274:LCS393464 LMO393274:LMO393464 LWK393274:LWK393464 MGG393274:MGG393464 MQC393274:MQC393464 MZY393274:MZY393464 NJU393274:NJU393464 NTQ393274:NTQ393464 ODM393274:ODM393464 ONI393274:ONI393464 OXE393274:OXE393464 PHA393274:PHA393464 PQW393274:PQW393464 QAS393274:QAS393464 QKO393274:QKO393464 QUK393274:QUK393464 REG393274:REG393464 ROC393274:ROC393464 RXY393274:RXY393464 SHU393274:SHU393464 SRQ393274:SRQ393464 TBM393274:TBM393464 TLI393274:TLI393464 TVE393274:TVE393464 UFA393274:UFA393464 UOW393274:UOW393464 UYS393274:UYS393464 VIO393274:VIO393464 VSK393274:VSK393464 WCG393274:WCG393464 WMC393274:WMC393464 WVY393274:WVY393464 P458810:P459000 JM458810:JM459000 TI458810:TI459000 ADE458810:ADE459000 ANA458810:ANA459000 AWW458810:AWW459000 BGS458810:BGS459000 BQO458810:BQO459000 CAK458810:CAK459000 CKG458810:CKG459000 CUC458810:CUC459000 DDY458810:DDY459000 DNU458810:DNU459000 DXQ458810:DXQ459000 EHM458810:EHM459000 ERI458810:ERI459000 FBE458810:FBE459000 FLA458810:FLA459000 FUW458810:FUW459000 GES458810:GES459000 GOO458810:GOO459000 GYK458810:GYK459000 HIG458810:HIG459000 HSC458810:HSC459000 IBY458810:IBY459000 ILU458810:ILU459000 IVQ458810:IVQ459000 JFM458810:JFM459000 JPI458810:JPI459000 JZE458810:JZE459000 KJA458810:KJA459000 KSW458810:KSW459000 LCS458810:LCS459000 LMO458810:LMO459000 LWK458810:LWK459000 MGG458810:MGG459000 MQC458810:MQC459000 MZY458810:MZY459000 NJU458810:NJU459000 NTQ458810:NTQ459000 ODM458810:ODM459000 ONI458810:ONI459000 OXE458810:OXE459000 PHA458810:PHA459000 PQW458810:PQW459000 QAS458810:QAS459000 QKO458810:QKO459000 QUK458810:QUK459000 REG458810:REG459000 ROC458810:ROC459000 RXY458810:RXY459000 SHU458810:SHU459000 SRQ458810:SRQ459000 TBM458810:TBM459000 TLI458810:TLI459000 TVE458810:TVE459000 UFA458810:UFA459000 UOW458810:UOW459000 UYS458810:UYS459000 VIO458810:VIO459000 VSK458810:VSK459000 WCG458810:WCG459000 WMC458810:WMC459000 WVY458810:WVY459000 P524346:P524536 JM524346:JM524536 TI524346:TI524536 ADE524346:ADE524536 ANA524346:ANA524536 AWW524346:AWW524536 BGS524346:BGS524536 BQO524346:BQO524536 CAK524346:CAK524536 CKG524346:CKG524536 CUC524346:CUC524536 DDY524346:DDY524536 DNU524346:DNU524536 DXQ524346:DXQ524536 EHM524346:EHM524536 ERI524346:ERI524536 FBE524346:FBE524536 FLA524346:FLA524536 FUW524346:FUW524536 GES524346:GES524536 GOO524346:GOO524536 GYK524346:GYK524536 HIG524346:HIG524536 HSC524346:HSC524536 IBY524346:IBY524536 ILU524346:ILU524536 IVQ524346:IVQ524536 JFM524346:JFM524536 JPI524346:JPI524536 JZE524346:JZE524536 KJA524346:KJA524536 KSW524346:KSW524536 LCS524346:LCS524536 LMO524346:LMO524536 LWK524346:LWK524536 MGG524346:MGG524536 MQC524346:MQC524536 MZY524346:MZY524536 NJU524346:NJU524536 NTQ524346:NTQ524536 ODM524346:ODM524536 ONI524346:ONI524536 OXE524346:OXE524536 PHA524346:PHA524536 PQW524346:PQW524536 QAS524346:QAS524536 QKO524346:QKO524536 QUK524346:QUK524536 REG524346:REG524536 ROC524346:ROC524536 RXY524346:RXY524536 SHU524346:SHU524536 SRQ524346:SRQ524536 TBM524346:TBM524536 TLI524346:TLI524536 TVE524346:TVE524536 UFA524346:UFA524536 UOW524346:UOW524536 UYS524346:UYS524536 VIO524346:VIO524536 VSK524346:VSK524536 WCG524346:WCG524536 WMC524346:WMC524536 WVY524346:WVY524536 P589882:P590072 JM589882:JM590072 TI589882:TI590072 ADE589882:ADE590072 ANA589882:ANA590072 AWW589882:AWW590072 BGS589882:BGS590072 BQO589882:BQO590072 CAK589882:CAK590072 CKG589882:CKG590072 CUC589882:CUC590072 DDY589882:DDY590072 DNU589882:DNU590072 DXQ589882:DXQ590072 EHM589882:EHM590072 ERI589882:ERI590072 FBE589882:FBE590072 FLA589882:FLA590072 FUW589882:FUW590072 GES589882:GES590072 GOO589882:GOO590072 GYK589882:GYK590072 HIG589882:HIG590072 HSC589882:HSC590072 IBY589882:IBY590072 ILU589882:ILU590072 IVQ589882:IVQ590072 JFM589882:JFM590072 JPI589882:JPI590072 JZE589882:JZE590072 KJA589882:KJA590072 KSW589882:KSW590072 LCS589882:LCS590072 LMO589882:LMO590072 LWK589882:LWK590072 MGG589882:MGG590072 MQC589882:MQC590072 MZY589882:MZY590072 NJU589882:NJU590072 NTQ589882:NTQ590072 ODM589882:ODM590072 ONI589882:ONI590072 OXE589882:OXE590072 PHA589882:PHA590072 PQW589882:PQW590072 QAS589882:QAS590072 QKO589882:QKO590072 QUK589882:QUK590072 REG589882:REG590072 ROC589882:ROC590072 RXY589882:RXY590072 SHU589882:SHU590072 SRQ589882:SRQ590072 TBM589882:TBM590072 TLI589882:TLI590072 TVE589882:TVE590072 UFA589882:UFA590072 UOW589882:UOW590072 UYS589882:UYS590072 VIO589882:VIO590072 VSK589882:VSK590072 WCG589882:WCG590072 WMC589882:WMC590072 WVY589882:WVY590072 P655418:P655608 JM655418:JM655608 TI655418:TI655608 ADE655418:ADE655608 ANA655418:ANA655608 AWW655418:AWW655608 BGS655418:BGS655608 BQO655418:BQO655608 CAK655418:CAK655608 CKG655418:CKG655608 CUC655418:CUC655608 DDY655418:DDY655608 DNU655418:DNU655608 DXQ655418:DXQ655608 EHM655418:EHM655608 ERI655418:ERI655608 FBE655418:FBE655608 FLA655418:FLA655608 FUW655418:FUW655608 GES655418:GES655608 GOO655418:GOO655608 GYK655418:GYK655608 HIG655418:HIG655608 HSC655418:HSC655608 IBY655418:IBY655608 ILU655418:ILU655608 IVQ655418:IVQ655608 JFM655418:JFM655608 JPI655418:JPI655608 JZE655418:JZE655608 KJA655418:KJA655608 KSW655418:KSW655608 LCS655418:LCS655608 LMO655418:LMO655608 LWK655418:LWK655608 MGG655418:MGG655608 MQC655418:MQC655608 MZY655418:MZY655608 NJU655418:NJU655608 NTQ655418:NTQ655608 ODM655418:ODM655608 ONI655418:ONI655608 OXE655418:OXE655608 PHA655418:PHA655608 PQW655418:PQW655608 QAS655418:QAS655608 QKO655418:QKO655608 QUK655418:QUK655608 REG655418:REG655608 ROC655418:ROC655608 RXY655418:RXY655608 SHU655418:SHU655608 SRQ655418:SRQ655608 TBM655418:TBM655608 TLI655418:TLI655608 TVE655418:TVE655608 UFA655418:UFA655608 UOW655418:UOW655608 UYS655418:UYS655608 VIO655418:VIO655608 VSK655418:VSK655608 WCG655418:WCG655608 WMC655418:WMC655608 WVY655418:WVY655608 P720954:P721144 JM720954:JM721144 TI720954:TI721144 ADE720954:ADE721144 ANA720954:ANA721144 AWW720954:AWW721144 BGS720954:BGS721144 BQO720954:BQO721144 CAK720954:CAK721144 CKG720954:CKG721144 CUC720954:CUC721144 DDY720954:DDY721144 DNU720954:DNU721144 DXQ720954:DXQ721144 EHM720954:EHM721144 ERI720954:ERI721144 FBE720954:FBE721144 FLA720954:FLA721144 FUW720954:FUW721144 GES720954:GES721144 GOO720954:GOO721144 GYK720954:GYK721144 HIG720954:HIG721144 HSC720954:HSC721144 IBY720954:IBY721144 ILU720954:ILU721144 IVQ720954:IVQ721144 JFM720954:JFM721144 JPI720954:JPI721144 JZE720954:JZE721144 KJA720954:KJA721144 KSW720954:KSW721144 LCS720954:LCS721144 LMO720954:LMO721144 LWK720954:LWK721144 MGG720954:MGG721144 MQC720954:MQC721144 MZY720954:MZY721144 NJU720954:NJU721144 NTQ720954:NTQ721144 ODM720954:ODM721144 ONI720954:ONI721144 OXE720954:OXE721144 PHA720954:PHA721144 PQW720954:PQW721144 QAS720954:QAS721144 QKO720954:QKO721144 QUK720954:QUK721144 REG720954:REG721144 ROC720954:ROC721144 RXY720954:RXY721144 SHU720954:SHU721144 SRQ720954:SRQ721144 TBM720954:TBM721144 TLI720954:TLI721144 TVE720954:TVE721144 UFA720954:UFA721144 UOW720954:UOW721144 UYS720954:UYS721144 VIO720954:VIO721144 VSK720954:VSK721144 WCG720954:WCG721144 WMC720954:WMC721144 WVY720954:WVY721144 P786490:P786680 JM786490:JM786680 TI786490:TI786680 ADE786490:ADE786680 ANA786490:ANA786680 AWW786490:AWW786680 BGS786490:BGS786680 BQO786490:BQO786680 CAK786490:CAK786680 CKG786490:CKG786680 CUC786490:CUC786680 DDY786490:DDY786680 DNU786490:DNU786680 DXQ786490:DXQ786680 EHM786490:EHM786680 ERI786490:ERI786680 FBE786490:FBE786680 FLA786490:FLA786680 FUW786490:FUW786680 GES786490:GES786680 GOO786490:GOO786680 GYK786490:GYK786680 HIG786490:HIG786680 HSC786490:HSC786680 IBY786490:IBY786680 ILU786490:ILU786680 IVQ786490:IVQ786680 JFM786490:JFM786680 JPI786490:JPI786680 JZE786490:JZE786680 KJA786490:KJA786680 KSW786490:KSW786680 LCS786490:LCS786680 LMO786490:LMO786680 LWK786490:LWK786680 MGG786490:MGG786680 MQC786490:MQC786680 MZY786490:MZY786680 NJU786490:NJU786680 NTQ786490:NTQ786680 ODM786490:ODM786680 ONI786490:ONI786680 OXE786490:OXE786680 PHA786490:PHA786680 PQW786490:PQW786680 QAS786490:QAS786680 QKO786490:QKO786680 QUK786490:QUK786680 REG786490:REG786680 ROC786490:ROC786680 RXY786490:RXY786680 SHU786490:SHU786680 SRQ786490:SRQ786680 TBM786490:TBM786680 TLI786490:TLI786680 TVE786490:TVE786680 UFA786490:UFA786680 UOW786490:UOW786680 UYS786490:UYS786680 VIO786490:VIO786680 VSK786490:VSK786680 WCG786490:WCG786680 WMC786490:WMC786680 WVY786490:WVY786680 P852026:P852216 JM852026:JM852216 TI852026:TI852216 ADE852026:ADE852216 ANA852026:ANA852216 AWW852026:AWW852216 BGS852026:BGS852216 BQO852026:BQO852216 CAK852026:CAK852216 CKG852026:CKG852216 CUC852026:CUC852216 DDY852026:DDY852216 DNU852026:DNU852216 DXQ852026:DXQ852216 EHM852026:EHM852216 ERI852026:ERI852216 FBE852026:FBE852216 FLA852026:FLA852216 FUW852026:FUW852216 GES852026:GES852216 GOO852026:GOO852216 GYK852026:GYK852216 HIG852026:HIG852216 HSC852026:HSC852216 IBY852026:IBY852216 ILU852026:ILU852216 IVQ852026:IVQ852216 JFM852026:JFM852216 JPI852026:JPI852216 JZE852026:JZE852216 KJA852026:KJA852216 KSW852026:KSW852216 LCS852026:LCS852216 LMO852026:LMO852216 LWK852026:LWK852216 MGG852026:MGG852216 MQC852026:MQC852216 MZY852026:MZY852216 NJU852026:NJU852216 NTQ852026:NTQ852216 ODM852026:ODM852216 ONI852026:ONI852216 OXE852026:OXE852216 PHA852026:PHA852216 PQW852026:PQW852216 QAS852026:QAS852216 QKO852026:QKO852216 QUK852026:QUK852216 REG852026:REG852216 ROC852026:ROC852216 RXY852026:RXY852216 SHU852026:SHU852216 SRQ852026:SRQ852216 TBM852026:TBM852216 TLI852026:TLI852216 TVE852026:TVE852216 UFA852026:UFA852216 UOW852026:UOW852216 UYS852026:UYS852216 VIO852026:VIO852216 VSK852026:VSK852216 WCG852026:WCG852216 WMC852026:WMC852216 WVY852026:WVY852216 P917562:P917752 JM917562:JM917752 TI917562:TI917752 ADE917562:ADE917752 ANA917562:ANA917752 AWW917562:AWW917752 BGS917562:BGS917752 BQO917562:BQO917752 CAK917562:CAK917752 CKG917562:CKG917752 CUC917562:CUC917752 DDY917562:DDY917752 DNU917562:DNU917752 DXQ917562:DXQ917752 EHM917562:EHM917752 ERI917562:ERI917752 FBE917562:FBE917752 FLA917562:FLA917752 FUW917562:FUW917752 GES917562:GES917752 GOO917562:GOO917752 GYK917562:GYK917752 HIG917562:HIG917752 HSC917562:HSC917752 IBY917562:IBY917752 ILU917562:ILU917752 IVQ917562:IVQ917752 JFM917562:JFM917752 JPI917562:JPI917752 JZE917562:JZE917752 KJA917562:KJA917752 KSW917562:KSW917752 LCS917562:LCS917752 LMO917562:LMO917752 LWK917562:LWK917752 MGG917562:MGG917752 MQC917562:MQC917752 MZY917562:MZY917752 NJU917562:NJU917752 NTQ917562:NTQ917752 ODM917562:ODM917752 ONI917562:ONI917752 OXE917562:OXE917752 PHA917562:PHA917752 PQW917562:PQW917752 QAS917562:QAS917752 QKO917562:QKO917752 QUK917562:QUK917752 REG917562:REG917752 ROC917562:ROC917752 RXY917562:RXY917752 SHU917562:SHU917752 SRQ917562:SRQ917752 TBM917562:TBM917752 TLI917562:TLI917752 TVE917562:TVE917752 UFA917562:UFA917752 UOW917562:UOW917752 UYS917562:UYS917752 VIO917562:VIO917752 VSK917562:VSK917752 WCG917562:WCG917752 WMC917562:WMC917752 WVY917562:WVY917752 P983098:P983288 JM983098:JM983288 TI983098:TI983288 ADE983098:ADE983288 ANA983098:ANA983288 AWW983098:AWW983288 BGS983098:BGS983288 BQO983098:BQO983288 CAK983098:CAK983288 CKG983098:CKG983288 CUC983098:CUC983288 DDY983098:DDY983288 DNU983098:DNU983288 DXQ983098:DXQ983288 EHM983098:EHM983288 ERI983098:ERI983288 FBE983098:FBE983288 FLA983098:FLA983288 FUW983098:FUW983288 GES983098:GES983288 GOO983098:GOO983288 GYK983098:GYK983288 HIG983098:HIG983288 HSC983098:HSC983288 IBY983098:IBY983288 ILU983098:ILU983288 IVQ983098:IVQ983288 JFM983098:JFM983288 JPI983098:JPI983288 JZE983098:JZE983288 KJA983098:KJA983288 KSW983098:KSW983288 LCS983098:LCS983288 LMO983098:LMO983288 LWK983098:LWK983288 MGG983098:MGG983288 MQC983098:MQC983288 MZY983098:MZY983288 NJU983098:NJU983288 NTQ983098:NTQ983288 ODM983098:ODM983288 ONI983098:ONI983288 OXE983098:OXE983288 PHA983098:PHA983288 PQW983098:PQW983288 QAS983098:QAS983288 QKO983098:QKO983288 QUK983098:QUK983288 REG983098:REG983288 ROC983098:ROC983288 RXY983098:RXY983288 SHU983098:SHU983288 SRQ983098:SRQ983288 TBM983098:TBM983288 TLI983098:TLI983288 TVE983098:TVE983288 UFA983098:UFA983288 UOW983098:UOW983288 UYS983098:UYS983288 VIO983098:VIO983288 VSK983098:VSK983288 WCG983098:WCG983288 WMC983098:WMC983288 P5:P248 WVY66:WVY248 WMC66:WMC248 WCG66:WCG248 VSK66:VSK248 VIO66:VIO248 UYS66:UYS248 UOW66:UOW248 UFA66:UFA248 TVE66:TVE248 TLI66:TLI248 TBM66:TBM248 SRQ66:SRQ248 SHU66:SHU248 RXY66:RXY248 ROC66:ROC248 REG66:REG248 QUK66:QUK248 QKO66:QKO248 QAS66:QAS248 PQW66:PQW248 PHA66:PHA248 OXE66:OXE248 ONI66:ONI248 ODM66:ODM248 NTQ66:NTQ248 NJU66:NJU248 MZY66:MZY248 MQC66:MQC248 MGG66:MGG248 LWK66:LWK248 LMO66:LMO248 LCS66:LCS248 KSW66:KSW248 KJA66:KJA248 JZE66:JZE248 JPI66:JPI248 JFM66:JFM248 IVQ66:IVQ248 ILU66:ILU248 IBY66:IBY248 HSC66:HSC248 HIG66:HIG248 GYK66:GYK248 GOO66:GOO248 GES66:GES248 FUW66:FUW248 FLA66:FLA248 FBE66:FBE248 ERI66:ERI248 EHM66:EHM248 DXQ66:DXQ248 DNU66:DNU248 DDY66:DDY248 CUC66:CUC248 CKG66:CKG248 CAK66:CAK248 BQO66:BQO248 BGS66:BGS248 AWW66:AWW248 ANA66:ANA248 ADE66:ADE248 TI66:TI248 JM66:JM248" xr:uid="{4C0CA81E-2D74-6746-9804-0B44DC364012}">
      <formula1>VF</formula1>
    </dataValidation>
    <dataValidation type="list" allowBlank="1" showInputMessage="1" showErrorMessage="1" sqref="WVW983098:WVW983305 JK12:JK33 TG12:TG33 ADC12:ADC33 AMY12:AMY33 AWU12:AWU33 BGQ12:BGQ33 BQM12:BQM33 CAI12:CAI33 CKE12:CKE33 CUA12:CUA33 DDW12:DDW33 DNS12:DNS33 DXO12:DXO33 EHK12:EHK33 ERG12:ERG33 FBC12:FBC33 FKY12:FKY33 FUU12:FUU33 GEQ12:GEQ33 GOM12:GOM33 GYI12:GYI33 HIE12:HIE33 HSA12:HSA33 IBW12:IBW33 ILS12:ILS33 IVO12:IVO33 JFK12:JFK33 JPG12:JPG33 JZC12:JZC33 KIY12:KIY33 KSU12:KSU33 LCQ12:LCQ33 LMM12:LMM33 LWI12:LWI33 MGE12:MGE33 MQA12:MQA33 MZW12:MZW33 NJS12:NJS33 NTO12:NTO33 ODK12:ODK33 ONG12:ONG33 OXC12:OXC33 PGY12:PGY33 PQU12:PQU33 QAQ12:QAQ33 QKM12:QKM33 QUI12:QUI33 REE12:REE33 ROA12:ROA33 RXW12:RXW33 SHS12:SHS33 SRO12:SRO33 TBK12:TBK33 TLG12:TLG33 TVC12:TVC33 UEY12:UEY33 UOU12:UOU33 UYQ12:UYQ33 VIM12:VIM33 VSI12:VSI33 WCE12:WCE33 WMA12:WMA33 WVW12:WVW33 N65540:N65561 JK65540:JK65561 TG65540:TG65561 ADC65540:ADC65561 AMY65540:AMY65561 AWU65540:AWU65561 BGQ65540:BGQ65561 BQM65540:BQM65561 CAI65540:CAI65561 CKE65540:CKE65561 CUA65540:CUA65561 DDW65540:DDW65561 DNS65540:DNS65561 DXO65540:DXO65561 EHK65540:EHK65561 ERG65540:ERG65561 FBC65540:FBC65561 FKY65540:FKY65561 FUU65540:FUU65561 GEQ65540:GEQ65561 GOM65540:GOM65561 GYI65540:GYI65561 HIE65540:HIE65561 HSA65540:HSA65561 IBW65540:IBW65561 ILS65540:ILS65561 IVO65540:IVO65561 JFK65540:JFK65561 JPG65540:JPG65561 JZC65540:JZC65561 KIY65540:KIY65561 KSU65540:KSU65561 LCQ65540:LCQ65561 LMM65540:LMM65561 LWI65540:LWI65561 MGE65540:MGE65561 MQA65540:MQA65561 MZW65540:MZW65561 NJS65540:NJS65561 NTO65540:NTO65561 ODK65540:ODK65561 ONG65540:ONG65561 OXC65540:OXC65561 PGY65540:PGY65561 PQU65540:PQU65561 QAQ65540:QAQ65561 QKM65540:QKM65561 QUI65540:QUI65561 REE65540:REE65561 ROA65540:ROA65561 RXW65540:RXW65561 SHS65540:SHS65561 SRO65540:SRO65561 TBK65540:TBK65561 TLG65540:TLG65561 TVC65540:TVC65561 UEY65540:UEY65561 UOU65540:UOU65561 UYQ65540:UYQ65561 VIM65540:VIM65561 VSI65540:VSI65561 WCE65540:WCE65561 WMA65540:WMA65561 WVW65540:WVW65561 N131076:N131097 JK131076:JK131097 TG131076:TG131097 ADC131076:ADC131097 AMY131076:AMY131097 AWU131076:AWU131097 BGQ131076:BGQ131097 BQM131076:BQM131097 CAI131076:CAI131097 CKE131076:CKE131097 CUA131076:CUA131097 DDW131076:DDW131097 DNS131076:DNS131097 DXO131076:DXO131097 EHK131076:EHK131097 ERG131076:ERG131097 FBC131076:FBC131097 FKY131076:FKY131097 FUU131076:FUU131097 GEQ131076:GEQ131097 GOM131076:GOM131097 GYI131076:GYI131097 HIE131076:HIE131097 HSA131076:HSA131097 IBW131076:IBW131097 ILS131076:ILS131097 IVO131076:IVO131097 JFK131076:JFK131097 JPG131076:JPG131097 JZC131076:JZC131097 KIY131076:KIY131097 KSU131076:KSU131097 LCQ131076:LCQ131097 LMM131076:LMM131097 LWI131076:LWI131097 MGE131076:MGE131097 MQA131076:MQA131097 MZW131076:MZW131097 NJS131076:NJS131097 NTO131076:NTO131097 ODK131076:ODK131097 ONG131076:ONG131097 OXC131076:OXC131097 PGY131076:PGY131097 PQU131076:PQU131097 QAQ131076:QAQ131097 QKM131076:QKM131097 QUI131076:QUI131097 REE131076:REE131097 ROA131076:ROA131097 RXW131076:RXW131097 SHS131076:SHS131097 SRO131076:SRO131097 TBK131076:TBK131097 TLG131076:TLG131097 TVC131076:TVC131097 UEY131076:UEY131097 UOU131076:UOU131097 UYQ131076:UYQ131097 VIM131076:VIM131097 VSI131076:VSI131097 WCE131076:WCE131097 WMA131076:WMA131097 WVW131076:WVW131097 N196612:N196633 JK196612:JK196633 TG196612:TG196633 ADC196612:ADC196633 AMY196612:AMY196633 AWU196612:AWU196633 BGQ196612:BGQ196633 BQM196612:BQM196633 CAI196612:CAI196633 CKE196612:CKE196633 CUA196612:CUA196633 DDW196612:DDW196633 DNS196612:DNS196633 DXO196612:DXO196633 EHK196612:EHK196633 ERG196612:ERG196633 FBC196612:FBC196633 FKY196612:FKY196633 FUU196612:FUU196633 GEQ196612:GEQ196633 GOM196612:GOM196633 GYI196612:GYI196633 HIE196612:HIE196633 HSA196612:HSA196633 IBW196612:IBW196633 ILS196612:ILS196633 IVO196612:IVO196633 JFK196612:JFK196633 JPG196612:JPG196633 JZC196612:JZC196633 KIY196612:KIY196633 KSU196612:KSU196633 LCQ196612:LCQ196633 LMM196612:LMM196633 LWI196612:LWI196633 MGE196612:MGE196633 MQA196612:MQA196633 MZW196612:MZW196633 NJS196612:NJS196633 NTO196612:NTO196633 ODK196612:ODK196633 ONG196612:ONG196633 OXC196612:OXC196633 PGY196612:PGY196633 PQU196612:PQU196633 QAQ196612:QAQ196633 QKM196612:QKM196633 QUI196612:QUI196633 REE196612:REE196633 ROA196612:ROA196633 RXW196612:RXW196633 SHS196612:SHS196633 SRO196612:SRO196633 TBK196612:TBK196633 TLG196612:TLG196633 TVC196612:TVC196633 UEY196612:UEY196633 UOU196612:UOU196633 UYQ196612:UYQ196633 VIM196612:VIM196633 VSI196612:VSI196633 WCE196612:WCE196633 WMA196612:WMA196633 WVW196612:WVW196633 N262148:N262169 JK262148:JK262169 TG262148:TG262169 ADC262148:ADC262169 AMY262148:AMY262169 AWU262148:AWU262169 BGQ262148:BGQ262169 BQM262148:BQM262169 CAI262148:CAI262169 CKE262148:CKE262169 CUA262148:CUA262169 DDW262148:DDW262169 DNS262148:DNS262169 DXO262148:DXO262169 EHK262148:EHK262169 ERG262148:ERG262169 FBC262148:FBC262169 FKY262148:FKY262169 FUU262148:FUU262169 GEQ262148:GEQ262169 GOM262148:GOM262169 GYI262148:GYI262169 HIE262148:HIE262169 HSA262148:HSA262169 IBW262148:IBW262169 ILS262148:ILS262169 IVO262148:IVO262169 JFK262148:JFK262169 JPG262148:JPG262169 JZC262148:JZC262169 KIY262148:KIY262169 KSU262148:KSU262169 LCQ262148:LCQ262169 LMM262148:LMM262169 LWI262148:LWI262169 MGE262148:MGE262169 MQA262148:MQA262169 MZW262148:MZW262169 NJS262148:NJS262169 NTO262148:NTO262169 ODK262148:ODK262169 ONG262148:ONG262169 OXC262148:OXC262169 PGY262148:PGY262169 PQU262148:PQU262169 QAQ262148:QAQ262169 QKM262148:QKM262169 QUI262148:QUI262169 REE262148:REE262169 ROA262148:ROA262169 RXW262148:RXW262169 SHS262148:SHS262169 SRO262148:SRO262169 TBK262148:TBK262169 TLG262148:TLG262169 TVC262148:TVC262169 UEY262148:UEY262169 UOU262148:UOU262169 UYQ262148:UYQ262169 VIM262148:VIM262169 VSI262148:VSI262169 WCE262148:WCE262169 WMA262148:WMA262169 WVW262148:WVW262169 N327684:N327705 JK327684:JK327705 TG327684:TG327705 ADC327684:ADC327705 AMY327684:AMY327705 AWU327684:AWU327705 BGQ327684:BGQ327705 BQM327684:BQM327705 CAI327684:CAI327705 CKE327684:CKE327705 CUA327684:CUA327705 DDW327684:DDW327705 DNS327684:DNS327705 DXO327684:DXO327705 EHK327684:EHK327705 ERG327684:ERG327705 FBC327684:FBC327705 FKY327684:FKY327705 FUU327684:FUU327705 GEQ327684:GEQ327705 GOM327684:GOM327705 GYI327684:GYI327705 HIE327684:HIE327705 HSA327684:HSA327705 IBW327684:IBW327705 ILS327684:ILS327705 IVO327684:IVO327705 JFK327684:JFK327705 JPG327684:JPG327705 JZC327684:JZC327705 KIY327684:KIY327705 KSU327684:KSU327705 LCQ327684:LCQ327705 LMM327684:LMM327705 LWI327684:LWI327705 MGE327684:MGE327705 MQA327684:MQA327705 MZW327684:MZW327705 NJS327684:NJS327705 NTO327684:NTO327705 ODK327684:ODK327705 ONG327684:ONG327705 OXC327684:OXC327705 PGY327684:PGY327705 PQU327684:PQU327705 QAQ327684:QAQ327705 QKM327684:QKM327705 QUI327684:QUI327705 REE327684:REE327705 ROA327684:ROA327705 RXW327684:RXW327705 SHS327684:SHS327705 SRO327684:SRO327705 TBK327684:TBK327705 TLG327684:TLG327705 TVC327684:TVC327705 UEY327684:UEY327705 UOU327684:UOU327705 UYQ327684:UYQ327705 VIM327684:VIM327705 VSI327684:VSI327705 WCE327684:WCE327705 WMA327684:WMA327705 WVW327684:WVW327705 N393220:N393241 JK393220:JK393241 TG393220:TG393241 ADC393220:ADC393241 AMY393220:AMY393241 AWU393220:AWU393241 BGQ393220:BGQ393241 BQM393220:BQM393241 CAI393220:CAI393241 CKE393220:CKE393241 CUA393220:CUA393241 DDW393220:DDW393241 DNS393220:DNS393241 DXO393220:DXO393241 EHK393220:EHK393241 ERG393220:ERG393241 FBC393220:FBC393241 FKY393220:FKY393241 FUU393220:FUU393241 GEQ393220:GEQ393241 GOM393220:GOM393241 GYI393220:GYI393241 HIE393220:HIE393241 HSA393220:HSA393241 IBW393220:IBW393241 ILS393220:ILS393241 IVO393220:IVO393241 JFK393220:JFK393241 JPG393220:JPG393241 JZC393220:JZC393241 KIY393220:KIY393241 KSU393220:KSU393241 LCQ393220:LCQ393241 LMM393220:LMM393241 LWI393220:LWI393241 MGE393220:MGE393241 MQA393220:MQA393241 MZW393220:MZW393241 NJS393220:NJS393241 NTO393220:NTO393241 ODK393220:ODK393241 ONG393220:ONG393241 OXC393220:OXC393241 PGY393220:PGY393241 PQU393220:PQU393241 QAQ393220:QAQ393241 QKM393220:QKM393241 QUI393220:QUI393241 REE393220:REE393241 ROA393220:ROA393241 RXW393220:RXW393241 SHS393220:SHS393241 SRO393220:SRO393241 TBK393220:TBK393241 TLG393220:TLG393241 TVC393220:TVC393241 UEY393220:UEY393241 UOU393220:UOU393241 UYQ393220:UYQ393241 VIM393220:VIM393241 VSI393220:VSI393241 WCE393220:WCE393241 WMA393220:WMA393241 WVW393220:WVW393241 N458756:N458777 JK458756:JK458777 TG458756:TG458777 ADC458756:ADC458777 AMY458756:AMY458777 AWU458756:AWU458777 BGQ458756:BGQ458777 BQM458756:BQM458777 CAI458756:CAI458777 CKE458756:CKE458777 CUA458756:CUA458777 DDW458756:DDW458777 DNS458756:DNS458777 DXO458756:DXO458777 EHK458756:EHK458777 ERG458756:ERG458777 FBC458756:FBC458777 FKY458756:FKY458777 FUU458756:FUU458777 GEQ458756:GEQ458777 GOM458756:GOM458777 GYI458756:GYI458777 HIE458756:HIE458777 HSA458756:HSA458777 IBW458756:IBW458777 ILS458756:ILS458777 IVO458756:IVO458777 JFK458756:JFK458777 JPG458756:JPG458777 JZC458756:JZC458777 KIY458756:KIY458777 KSU458756:KSU458777 LCQ458756:LCQ458777 LMM458756:LMM458777 LWI458756:LWI458777 MGE458756:MGE458777 MQA458756:MQA458777 MZW458756:MZW458777 NJS458756:NJS458777 NTO458756:NTO458777 ODK458756:ODK458777 ONG458756:ONG458777 OXC458756:OXC458777 PGY458756:PGY458777 PQU458756:PQU458777 QAQ458756:QAQ458777 QKM458756:QKM458777 QUI458756:QUI458777 REE458756:REE458777 ROA458756:ROA458777 RXW458756:RXW458777 SHS458756:SHS458777 SRO458756:SRO458777 TBK458756:TBK458777 TLG458756:TLG458777 TVC458756:TVC458777 UEY458756:UEY458777 UOU458756:UOU458777 UYQ458756:UYQ458777 VIM458756:VIM458777 VSI458756:VSI458777 WCE458756:WCE458777 WMA458756:WMA458777 WVW458756:WVW458777 N524292:N524313 JK524292:JK524313 TG524292:TG524313 ADC524292:ADC524313 AMY524292:AMY524313 AWU524292:AWU524313 BGQ524292:BGQ524313 BQM524292:BQM524313 CAI524292:CAI524313 CKE524292:CKE524313 CUA524292:CUA524313 DDW524292:DDW524313 DNS524292:DNS524313 DXO524292:DXO524313 EHK524292:EHK524313 ERG524292:ERG524313 FBC524292:FBC524313 FKY524292:FKY524313 FUU524292:FUU524313 GEQ524292:GEQ524313 GOM524292:GOM524313 GYI524292:GYI524313 HIE524292:HIE524313 HSA524292:HSA524313 IBW524292:IBW524313 ILS524292:ILS524313 IVO524292:IVO524313 JFK524292:JFK524313 JPG524292:JPG524313 JZC524292:JZC524313 KIY524292:KIY524313 KSU524292:KSU524313 LCQ524292:LCQ524313 LMM524292:LMM524313 LWI524292:LWI524313 MGE524292:MGE524313 MQA524292:MQA524313 MZW524292:MZW524313 NJS524292:NJS524313 NTO524292:NTO524313 ODK524292:ODK524313 ONG524292:ONG524313 OXC524292:OXC524313 PGY524292:PGY524313 PQU524292:PQU524313 QAQ524292:QAQ524313 QKM524292:QKM524313 QUI524292:QUI524313 REE524292:REE524313 ROA524292:ROA524313 RXW524292:RXW524313 SHS524292:SHS524313 SRO524292:SRO524313 TBK524292:TBK524313 TLG524292:TLG524313 TVC524292:TVC524313 UEY524292:UEY524313 UOU524292:UOU524313 UYQ524292:UYQ524313 VIM524292:VIM524313 VSI524292:VSI524313 WCE524292:WCE524313 WMA524292:WMA524313 WVW524292:WVW524313 N589828:N589849 JK589828:JK589849 TG589828:TG589849 ADC589828:ADC589849 AMY589828:AMY589849 AWU589828:AWU589849 BGQ589828:BGQ589849 BQM589828:BQM589849 CAI589828:CAI589849 CKE589828:CKE589849 CUA589828:CUA589849 DDW589828:DDW589849 DNS589828:DNS589849 DXO589828:DXO589849 EHK589828:EHK589849 ERG589828:ERG589849 FBC589828:FBC589849 FKY589828:FKY589849 FUU589828:FUU589849 GEQ589828:GEQ589849 GOM589828:GOM589849 GYI589828:GYI589849 HIE589828:HIE589849 HSA589828:HSA589849 IBW589828:IBW589849 ILS589828:ILS589849 IVO589828:IVO589849 JFK589828:JFK589849 JPG589828:JPG589849 JZC589828:JZC589849 KIY589828:KIY589849 KSU589828:KSU589849 LCQ589828:LCQ589849 LMM589828:LMM589849 LWI589828:LWI589849 MGE589828:MGE589849 MQA589828:MQA589849 MZW589828:MZW589849 NJS589828:NJS589849 NTO589828:NTO589849 ODK589828:ODK589849 ONG589828:ONG589849 OXC589828:OXC589849 PGY589828:PGY589849 PQU589828:PQU589849 QAQ589828:QAQ589849 QKM589828:QKM589849 QUI589828:QUI589849 REE589828:REE589849 ROA589828:ROA589849 RXW589828:RXW589849 SHS589828:SHS589849 SRO589828:SRO589849 TBK589828:TBK589849 TLG589828:TLG589849 TVC589828:TVC589849 UEY589828:UEY589849 UOU589828:UOU589849 UYQ589828:UYQ589849 VIM589828:VIM589849 VSI589828:VSI589849 WCE589828:WCE589849 WMA589828:WMA589849 WVW589828:WVW589849 N655364:N655385 JK655364:JK655385 TG655364:TG655385 ADC655364:ADC655385 AMY655364:AMY655385 AWU655364:AWU655385 BGQ655364:BGQ655385 BQM655364:BQM655385 CAI655364:CAI655385 CKE655364:CKE655385 CUA655364:CUA655385 DDW655364:DDW655385 DNS655364:DNS655385 DXO655364:DXO655385 EHK655364:EHK655385 ERG655364:ERG655385 FBC655364:FBC655385 FKY655364:FKY655385 FUU655364:FUU655385 GEQ655364:GEQ655385 GOM655364:GOM655385 GYI655364:GYI655385 HIE655364:HIE655385 HSA655364:HSA655385 IBW655364:IBW655385 ILS655364:ILS655385 IVO655364:IVO655385 JFK655364:JFK655385 JPG655364:JPG655385 JZC655364:JZC655385 KIY655364:KIY655385 KSU655364:KSU655385 LCQ655364:LCQ655385 LMM655364:LMM655385 LWI655364:LWI655385 MGE655364:MGE655385 MQA655364:MQA655385 MZW655364:MZW655385 NJS655364:NJS655385 NTO655364:NTO655385 ODK655364:ODK655385 ONG655364:ONG655385 OXC655364:OXC655385 PGY655364:PGY655385 PQU655364:PQU655385 QAQ655364:QAQ655385 QKM655364:QKM655385 QUI655364:QUI655385 REE655364:REE655385 ROA655364:ROA655385 RXW655364:RXW655385 SHS655364:SHS655385 SRO655364:SRO655385 TBK655364:TBK655385 TLG655364:TLG655385 TVC655364:TVC655385 UEY655364:UEY655385 UOU655364:UOU655385 UYQ655364:UYQ655385 VIM655364:VIM655385 VSI655364:VSI655385 WCE655364:WCE655385 WMA655364:WMA655385 WVW655364:WVW655385 N720900:N720921 JK720900:JK720921 TG720900:TG720921 ADC720900:ADC720921 AMY720900:AMY720921 AWU720900:AWU720921 BGQ720900:BGQ720921 BQM720900:BQM720921 CAI720900:CAI720921 CKE720900:CKE720921 CUA720900:CUA720921 DDW720900:DDW720921 DNS720900:DNS720921 DXO720900:DXO720921 EHK720900:EHK720921 ERG720900:ERG720921 FBC720900:FBC720921 FKY720900:FKY720921 FUU720900:FUU720921 GEQ720900:GEQ720921 GOM720900:GOM720921 GYI720900:GYI720921 HIE720900:HIE720921 HSA720900:HSA720921 IBW720900:IBW720921 ILS720900:ILS720921 IVO720900:IVO720921 JFK720900:JFK720921 JPG720900:JPG720921 JZC720900:JZC720921 KIY720900:KIY720921 KSU720900:KSU720921 LCQ720900:LCQ720921 LMM720900:LMM720921 LWI720900:LWI720921 MGE720900:MGE720921 MQA720900:MQA720921 MZW720900:MZW720921 NJS720900:NJS720921 NTO720900:NTO720921 ODK720900:ODK720921 ONG720900:ONG720921 OXC720900:OXC720921 PGY720900:PGY720921 PQU720900:PQU720921 QAQ720900:QAQ720921 QKM720900:QKM720921 QUI720900:QUI720921 REE720900:REE720921 ROA720900:ROA720921 RXW720900:RXW720921 SHS720900:SHS720921 SRO720900:SRO720921 TBK720900:TBK720921 TLG720900:TLG720921 TVC720900:TVC720921 UEY720900:UEY720921 UOU720900:UOU720921 UYQ720900:UYQ720921 VIM720900:VIM720921 VSI720900:VSI720921 WCE720900:WCE720921 WMA720900:WMA720921 WVW720900:WVW720921 N786436:N786457 JK786436:JK786457 TG786436:TG786457 ADC786436:ADC786457 AMY786436:AMY786457 AWU786436:AWU786457 BGQ786436:BGQ786457 BQM786436:BQM786457 CAI786436:CAI786457 CKE786436:CKE786457 CUA786436:CUA786457 DDW786436:DDW786457 DNS786436:DNS786457 DXO786436:DXO786457 EHK786436:EHK786457 ERG786436:ERG786457 FBC786436:FBC786457 FKY786436:FKY786457 FUU786436:FUU786457 GEQ786436:GEQ786457 GOM786436:GOM786457 GYI786436:GYI786457 HIE786436:HIE786457 HSA786436:HSA786457 IBW786436:IBW786457 ILS786436:ILS786457 IVO786436:IVO786457 JFK786436:JFK786457 JPG786436:JPG786457 JZC786436:JZC786457 KIY786436:KIY786457 KSU786436:KSU786457 LCQ786436:LCQ786457 LMM786436:LMM786457 LWI786436:LWI786457 MGE786436:MGE786457 MQA786436:MQA786457 MZW786436:MZW786457 NJS786436:NJS786457 NTO786436:NTO786457 ODK786436:ODK786457 ONG786436:ONG786457 OXC786436:OXC786457 PGY786436:PGY786457 PQU786436:PQU786457 QAQ786436:QAQ786457 QKM786436:QKM786457 QUI786436:QUI786457 REE786436:REE786457 ROA786436:ROA786457 RXW786436:RXW786457 SHS786436:SHS786457 SRO786436:SRO786457 TBK786436:TBK786457 TLG786436:TLG786457 TVC786436:TVC786457 UEY786436:UEY786457 UOU786436:UOU786457 UYQ786436:UYQ786457 VIM786436:VIM786457 VSI786436:VSI786457 WCE786436:WCE786457 WMA786436:WMA786457 WVW786436:WVW786457 N851972:N851993 JK851972:JK851993 TG851972:TG851993 ADC851972:ADC851993 AMY851972:AMY851993 AWU851972:AWU851993 BGQ851972:BGQ851993 BQM851972:BQM851993 CAI851972:CAI851993 CKE851972:CKE851993 CUA851972:CUA851993 DDW851972:DDW851993 DNS851972:DNS851993 DXO851972:DXO851993 EHK851972:EHK851993 ERG851972:ERG851993 FBC851972:FBC851993 FKY851972:FKY851993 FUU851972:FUU851993 GEQ851972:GEQ851993 GOM851972:GOM851993 GYI851972:GYI851993 HIE851972:HIE851993 HSA851972:HSA851993 IBW851972:IBW851993 ILS851972:ILS851993 IVO851972:IVO851993 JFK851972:JFK851993 JPG851972:JPG851993 JZC851972:JZC851993 KIY851972:KIY851993 KSU851972:KSU851993 LCQ851972:LCQ851993 LMM851972:LMM851993 LWI851972:LWI851993 MGE851972:MGE851993 MQA851972:MQA851993 MZW851972:MZW851993 NJS851972:NJS851993 NTO851972:NTO851993 ODK851972:ODK851993 ONG851972:ONG851993 OXC851972:OXC851993 PGY851972:PGY851993 PQU851972:PQU851993 QAQ851972:QAQ851993 QKM851972:QKM851993 QUI851972:QUI851993 REE851972:REE851993 ROA851972:ROA851993 RXW851972:RXW851993 SHS851972:SHS851993 SRO851972:SRO851993 TBK851972:TBK851993 TLG851972:TLG851993 TVC851972:TVC851993 UEY851972:UEY851993 UOU851972:UOU851993 UYQ851972:UYQ851993 VIM851972:VIM851993 VSI851972:VSI851993 WCE851972:WCE851993 WMA851972:WMA851993 WVW851972:WVW851993 N917508:N917529 JK917508:JK917529 TG917508:TG917529 ADC917508:ADC917529 AMY917508:AMY917529 AWU917508:AWU917529 BGQ917508:BGQ917529 BQM917508:BQM917529 CAI917508:CAI917529 CKE917508:CKE917529 CUA917508:CUA917529 DDW917508:DDW917529 DNS917508:DNS917529 DXO917508:DXO917529 EHK917508:EHK917529 ERG917508:ERG917529 FBC917508:FBC917529 FKY917508:FKY917529 FUU917508:FUU917529 GEQ917508:GEQ917529 GOM917508:GOM917529 GYI917508:GYI917529 HIE917508:HIE917529 HSA917508:HSA917529 IBW917508:IBW917529 ILS917508:ILS917529 IVO917508:IVO917529 JFK917508:JFK917529 JPG917508:JPG917529 JZC917508:JZC917529 KIY917508:KIY917529 KSU917508:KSU917529 LCQ917508:LCQ917529 LMM917508:LMM917529 LWI917508:LWI917529 MGE917508:MGE917529 MQA917508:MQA917529 MZW917508:MZW917529 NJS917508:NJS917529 NTO917508:NTO917529 ODK917508:ODK917529 ONG917508:ONG917529 OXC917508:OXC917529 PGY917508:PGY917529 PQU917508:PQU917529 QAQ917508:QAQ917529 QKM917508:QKM917529 QUI917508:QUI917529 REE917508:REE917529 ROA917508:ROA917529 RXW917508:RXW917529 SHS917508:SHS917529 SRO917508:SRO917529 TBK917508:TBK917529 TLG917508:TLG917529 TVC917508:TVC917529 UEY917508:UEY917529 UOU917508:UOU917529 UYQ917508:UYQ917529 VIM917508:VIM917529 VSI917508:VSI917529 WCE917508:WCE917529 WMA917508:WMA917529 WVW917508:WVW917529 N983044:N983065 JK983044:JK983065 TG983044:TG983065 ADC983044:ADC983065 AMY983044:AMY983065 AWU983044:AWU983065 BGQ983044:BGQ983065 BQM983044:BQM983065 CAI983044:CAI983065 CKE983044:CKE983065 CUA983044:CUA983065 DDW983044:DDW983065 DNS983044:DNS983065 DXO983044:DXO983065 EHK983044:EHK983065 ERG983044:ERG983065 FBC983044:FBC983065 FKY983044:FKY983065 FUU983044:FUU983065 GEQ983044:GEQ983065 GOM983044:GOM983065 GYI983044:GYI983065 HIE983044:HIE983065 HSA983044:HSA983065 IBW983044:IBW983065 ILS983044:ILS983065 IVO983044:IVO983065 JFK983044:JFK983065 JPG983044:JPG983065 JZC983044:JZC983065 KIY983044:KIY983065 KSU983044:KSU983065 LCQ983044:LCQ983065 LMM983044:LMM983065 LWI983044:LWI983065 MGE983044:MGE983065 MQA983044:MQA983065 MZW983044:MZW983065 NJS983044:NJS983065 NTO983044:NTO983065 ODK983044:ODK983065 ONG983044:ONG983065 OXC983044:OXC983065 PGY983044:PGY983065 PQU983044:PQU983065 QAQ983044:QAQ983065 QKM983044:QKM983065 QUI983044:QUI983065 REE983044:REE983065 ROA983044:ROA983065 RXW983044:RXW983065 SHS983044:SHS983065 SRO983044:SRO983065 TBK983044:TBK983065 TLG983044:TLG983065 TVC983044:TVC983065 UEY983044:UEY983065 UOU983044:UOU983065 UYQ983044:UYQ983065 VIM983044:VIM983065 VSI983044:VSI983065 WCE983044:WCE983065 WMA983044:WMA983065 WVW983044:WVW983065 N65594:N65801 JK65594:JK65801 TG65594:TG65801 ADC65594:ADC65801 AMY65594:AMY65801 AWU65594:AWU65801 BGQ65594:BGQ65801 BQM65594:BQM65801 CAI65594:CAI65801 CKE65594:CKE65801 CUA65594:CUA65801 DDW65594:DDW65801 DNS65594:DNS65801 DXO65594:DXO65801 EHK65594:EHK65801 ERG65594:ERG65801 FBC65594:FBC65801 FKY65594:FKY65801 FUU65594:FUU65801 GEQ65594:GEQ65801 GOM65594:GOM65801 GYI65594:GYI65801 HIE65594:HIE65801 HSA65594:HSA65801 IBW65594:IBW65801 ILS65594:ILS65801 IVO65594:IVO65801 JFK65594:JFK65801 JPG65594:JPG65801 JZC65594:JZC65801 KIY65594:KIY65801 KSU65594:KSU65801 LCQ65594:LCQ65801 LMM65594:LMM65801 LWI65594:LWI65801 MGE65594:MGE65801 MQA65594:MQA65801 MZW65594:MZW65801 NJS65594:NJS65801 NTO65594:NTO65801 ODK65594:ODK65801 ONG65594:ONG65801 OXC65594:OXC65801 PGY65594:PGY65801 PQU65594:PQU65801 QAQ65594:QAQ65801 QKM65594:QKM65801 QUI65594:QUI65801 REE65594:REE65801 ROA65594:ROA65801 RXW65594:RXW65801 SHS65594:SHS65801 SRO65594:SRO65801 TBK65594:TBK65801 TLG65594:TLG65801 TVC65594:TVC65801 UEY65594:UEY65801 UOU65594:UOU65801 UYQ65594:UYQ65801 VIM65594:VIM65801 VSI65594:VSI65801 WCE65594:WCE65801 WMA65594:WMA65801 WVW65594:WVW65801 N131130:N131337 JK131130:JK131337 TG131130:TG131337 ADC131130:ADC131337 AMY131130:AMY131337 AWU131130:AWU131337 BGQ131130:BGQ131337 BQM131130:BQM131337 CAI131130:CAI131337 CKE131130:CKE131337 CUA131130:CUA131337 DDW131130:DDW131337 DNS131130:DNS131337 DXO131130:DXO131337 EHK131130:EHK131337 ERG131130:ERG131337 FBC131130:FBC131337 FKY131130:FKY131337 FUU131130:FUU131337 GEQ131130:GEQ131337 GOM131130:GOM131337 GYI131130:GYI131337 HIE131130:HIE131337 HSA131130:HSA131337 IBW131130:IBW131337 ILS131130:ILS131337 IVO131130:IVO131337 JFK131130:JFK131337 JPG131130:JPG131337 JZC131130:JZC131337 KIY131130:KIY131337 KSU131130:KSU131337 LCQ131130:LCQ131337 LMM131130:LMM131337 LWI131130:LWI131337 MGE131130:MGE131337 MQA131130:MQA131337 MZW131130:MZW131337 NJS131130:NJS131337 NTO131130:NTO131337 ODK131130:ODK131337 ONG131130:ONG131337 OXC131130:OXC131337 PGY131130:PGY131337 PQU131130:PQU131337 QAQ131130:QAQ131337 QKM131130:QKM131337 QUI131130:QUI131337 REE131130:REE131337 ROA131130:ROA131337 RXW131130:RXW131337 SHS131130:SHS131337 SRO131130:SRO131337 TBK131130:TBK131337 TLG131130:TLG131337 TVC131130:TVC131337 UEY131130:UEY131337 UOU131130:UOU131337 UYQ131130:UYQ131337 VIM131130:VIM131337 VSI131130:VSI131337 WCE131130:WCE131337 WMA131130:WMA131337 WVW131130:WVW131337 N196666:N196873 JK196666:JK196873 TG196666:TG196873 ADC196666:ADC196873 AMY196666:AMY196873 AWU196666:AWU196873 BGQ196666:BGQ196873 BQM196666:BQM196873 CAI196666:CAI196873 CKE196666:CKE196873 CUA196666:CUA196873 DDW196666:DDW196873 DNS196666:DNS196873 DXO196666:DXO196873 EHK196666:EHK196873 ERG196666:ERG196873 FBC196666:FBC196873 FKY196666:FKY196873 FUU196666:FUU196873 GEQ196666:GEQ196873 GOM196666:GOM196873 GYI196666:GYI196873 HIE196666:HIE196873 HSA196666:HSA196873 IBW196666:IBW196873 ILS196666:ILS196873 IVO196666:IVO196873 JFK196666:JFK196873 JPG196666:JPG196873 JZC196666:JZC196873 KIY196666:KIY196873 KSU196666:KSU196873 LCQ196666:LCQ196873 LMM196666:LMM196873 LWI196666:LWI196873 MGE196666:MGE196873 MQA196666:MQA196873 MZW196666:MZW196873 NJS196666:NJS196873 NTO196666:NTO196873 ODK196666:ODK196873 ONG196666:ONG196873 OXC196666:OXC196873 PGY196666:PGY196873 PQU196666:PQU196873 QAQ196666:QAQ196873 QKM196666:QKM196873 QUI196666:QUI196873 REE196666:REE196873 ROA196666:ROA196873 RXW196666:RXW196873 SHS196666:SHS196873 SRO196666:SRO196873 TBK196666:TBK196873 TLG196666:TLG196873 TVC196666:TVC196873 UEY196666:UEY196873 UOU196666:UOU196873 UYQ196666:UYQ196873 VIM196666:VIM196873 VSI196666:VSI196873 WCE196666:WCE196873 WMA196666:WMA196873 WVW196666:WVW196873 N262202:N262409 JK262202:JK262409 TG262202:TG262409 ADC262202:ADC262409 AMY262202:AMY262409 AWU262202:AWU262409 BGQ262202:BGQ262409 BQM262202:BQM262409 CAI262202:CAI262409 CKE262202:CKE262409 CUA262202:CUA262409 DDW262202:DDW262409 DNS262202:DNS262409 DXO262202:DXO262409 EHK262202:EHK262409 ERG262202:ERG262409 FBC262202:FBC262409 FKY262202:FKY262409 FUU262202:FUU262409 GEQ262202:GEQ262409 GOM262202:GOM262409 GYI262202:GYI262409 HIE262202:HIE262409 HSA262202:HSA262409 IBW262202:IBW262409 ILS262202:ILS262409 IVO262202:IVO262409 JFK262202:JFK262409 JPG262202:JPG262409 JZC262202:JZC262409 KIY262202:KIY262409 KSU262202:KSU262409 LCQ262202:LCQ262409 LMM262202:LMM262409 LWI262202:LWI262409 MGE262202:MGE262409 MQA262202:MQA262409 MZW262202:MZW262409 NJS262202:NJS262409 NTO262202:NTO262409 ODK262202:ODK262409 ONG262202:ONG262409 OXC262202:OXC262409 PGY262202:PGY262409 PQU262202:PQU262409 QAQ262202:QAQ262409 QKM262202:QKM262409 QUI262202:QUI262409 REE262202:REE262409 ROA262202:ROA262409 RXW262202:RXW262409 SHS262202:SHS262409 SRO262202:SRO262409 TBK262202:TBK262409 TLG262202:TLG262409 TVC262202:TVC262409 UEY262202:UEY262409 UOU262202:UOU262409 UYQ262202:UYQ262409 VIM262202:VIM262409 VSI262202:VSI262409 WCE262202:WCE262409 WMA262202:WMA262409 WVW262202:WVW262409 N327738:N327945 JK327738:JK327945 TG327738:TG327945 ADC327738:ADC327945 AMY327738:AMY327945 AWU327738:AWU327945 BGQ327738:BGQ327945 BQM327738:BQM327945 CAI327738:CAI327945 CKE327738:CKE327945 CUA327738:CUA327945 DDW327738:DDW327945 DNS327738:DNS327945 DXO327738:DXO327945 EHK327738:EHK327945 ERG327738:ERG327945 FBC327738:FBC327945 FKY327738:FKY327945 FUU327738:FUU327945 GEQ327738:GEQ327945 GOM327738:GOM327945 GYI327738:GYI327945 HIE327738:HIE327945 HSA327738:HSA327945 IBW327738:IBW327945 ILS327738:ILS327945 IVO327738:IVO327945 JFK327738:JFK327945 JPG327738:JPG327945 JZC327738:JZC327945 KIY327738:KIY327945 KSU327738:KSU327945 LCQ327738:LCQ327945 LMM327738:LMM327945 LWI327738:LWI327945 MGE327738:MGE327945 MQA327738:MQA327945 MZW327738:MZW327945 NJS327738:NJS327945 NTO327738:NTO327945 ODK327738:ODK327945 ONG327738:ONG327945 OXC327738:OXC327945 PGY327738:PGY327945 PQU327738:PQU327945 QAQ327738:QAQ327945 QKM327738:QKM327945 QUI327738:QUI327945 REE327738:REE327945 ROA327738:ROA327945 RXW327738:RXW327945 SHS327738:SHS327945 SRO327738:SRO327945 TBK327738:TBK327945 TLG327738:TLG327945 TVC327738:TVC327945 UEY327738:UEY327945 UOU327738:UOU327945 UYQ327738:UYQ327945 VIM327738:VIM327945 VSI327738:VSI327945 WCE327738:WCE327945 WMA327738:WMA327945 WVW327738:WVW327945 N393274:N393481 JK393274:JK393481 TG393274:TG393481 ADC393274:ADC393481 AMY393274:AMY393481 AWU393274:AWU393481 BGQ393274:BGQ393481 BQM393274:BQM393481 CAI393274:CAI393481 CKE393274:CKE393481 CUA393274:CUA393481 DDW393274:DDW393481 DNS393274:DNS393481 DXO393274:DXO393481 EHK393274:EHK393481 ERG393274:ERG393481 FBC393274:FBC393481 FKY393274:FKY393481 FUU393274:FUU393481 GEQ393274:GEQ393481 GOM393274:GOM393481 GYI393274:GYI393481 HIE393274:HIE393481 HSA393274:HSA393481 IBW393274:IBW393481 ILS393274:ILS393481 IVO393274:IVO393481 JFK393274:JFK393481 JPG393274:JPG393481 JZC393274:JZC393481 KIY393274:KIY393481 KSU393274:KSU393481 LCQ393274:LCQ393481 LMM393274:LMM393481 LWI393274:LWI393481 MGE393274:MGE393481 MQA393274:MQA393481 MZW393274:MZW393481 NJS393274:NJS393481 NTO393274:NTO393481 ODK393274:ODK393481 ONG393274:ONG393481 OXC393274:OXC393481 PGY393274:PGY393481 PQU393274:PQU393481 QAQ393274:QAQ393481 QKM393274:QKM393481 QUI393274:QUI393481 REE393274:REE393481 ROA393274:ROA393481 RXW393274:RXW393481 SHS393274:SHS393481 SRO393274:SRO393481 TBK393274:TBK393481 TLG393274:TLG393481 TVC393274:TVC393481 UEY393274:UEY393481 UOU393274:UOU393481 UYQ393274:UYQ393481 VIM393274:VIM393481 VSI393274:VSI393481 WCE393274:WCE393481 WMA393274:WMA393481 WVW393274:WVW393481 N458810:N459017 JK458810:JK459017 TG458810:TG459017 ADC458810:ADC459017 AMY458810:AMY459017 AWU458810:AWU459017 BGQ458810:BGQ459017 BQM458810:BQM459017 CAI458810:CAI459017 CKE458810:CKE459017 CUA458810:CUA459017 DDW458810:DDW459017 DNS458810:DNS459017 DXO458810:DXO459017 EHK458810:EHK459017 ERG458810:ERG459017 FBC458810:FBC459017 FKY458810:FKY459017 FUU458810:FUU459017 GEQ458810:GEQ459017 GOM458810:GOM459017 GYI458810:GYI459017 HIE458810:HIE459017 HSA458810:HSA459017 IBW458810:IBW459017 ILS458810:ILS459017 IVO458810:IVO459017 JFK458810:JFK459017 JPG458810:JPG459017 JZC458810:JZC459017 KIY458810:KIY459017 KSU458810:KSU459017 LCQ458810:LCQ459017 LMM458810:LMM459017 LWI458810:LWI459017 MGE458810:MGE459017 MQA458810:MQA459017 MZW458810:MZW459017 NJS458810:NJS459017 NTO458810:NTO459017 ODK458810:ODK459017 ONG458810:ONG459017 OXC458810:OXC459017 PGY458810:PGY459017 PQU458810:PQU459017 QAQ458810:QAQ459017 QKM458810:QKM459017 QUI458810:QUI459017 REE458810:REE459017 ROA458810:ROA459017 RXW458810:RXW459017 SHS458810:SHS459017 SRO458810:SRO459017 TBK458810:TBK459017 TLG458810:TLG459017 TVC458810:TVC459017 UEY458810:UEY459017 UOU458810:UOU459017 UYQ458810:UYQ459017 VIM458810:VIM459017 VSI458810:VSI459017 WCE458810:WCE459017 WMA458810:WMA459017 WVW458810:WVW459017 N524346:N524553 JK524346:JK524553 TG524346:TG524553 ADC524346:ADC524553 AMY524346:AMY524553 AWU524346:AWU524553 BGQ524346:BGQ524553 BQM524346:BQM524553 CAI524346:CAI524553 CKE524346:CKE524553 CUA524346:CUA524553 DDW524346:DDW524553 DNS524346:DNS524553 DXO524346:DXO524553 EHK524346:EHK524553 ERG524346:ERG524553 FBC524346:FBC524553 FKY524346:FKY524553 FUU524346:FUU524553 GEQ524346:GEQ524553 GOM524346:GOM524553 GYI524346:GYI524553 HIE524346:HIE524553 HSA524346:HSA524553 IBW524346:IBW524553 ILS524346:ILS524553 IVO524346:IVO524553 JFK524346:JFK524553 JPG524346:JPG524553 JZC524346:JZC524553 KIY524346:KIY524553 KSU524346:KSU524553 LCQ524346:LCQ524553 LMM524346:LMM524553 LWI524346:LWI524553 MGE524346:MGE524553 MQA524346:MQA524553 MZW524346:MZW524553 NJS524346:NJS524553 NTO524346:NTO524553 ODK524346:ODK524553 ONG524346:ONG524553 OXC524346:OXC524553 PGY524346:PGY524553 PQU524346:PQU524553 QAQ524346:QAQ524553 QKM524346:QKM524553 QUI524346:QUI524553 REE524346:REE524553 ROA524346:ROA524553 RXW524346:RXW524553 SHS524346:SHS524553 SRO524346:SRO524553 TBK524346:TBK524553 TLG524346:TLG524553 TVC524346:TVC524553 UEY524346:UEY524553 UOU524346:UOU524553 UYQ524346:UYQ524553 VIM524346:VIM524553 VSI524346:VSI524553 WCE524346:WCE524553 WMA524346:WMA524553 WVW524346:WVW524553 N589882:N590089 JK589882:JK590089 TG589882:TG590089 ADC589882:ADC590089 AMY589882:AMY590089 AWU589882:AWU590089 BGQ589882:BGQ590089 BQM589882:BQM590089 CAI589882:CAI590089 CKE589882:CKE590089 CUA589882:CUA590089 DDW589882:DDW590089 DNS589882:DNS590089 DXO589882:DXO590089 EHK589882:EHK590089 ERG589882:ERG590089 FBC589882:FBC590089 FKY589882:FKY590089 FUU589882:FUU590089 GEQ589882:GEQ590089 GOM589882:GOM590089 GYI589882:GYI590089 HIE589882:HIE590089 HSA589882:HSA590089 IBW589882:IBW590089 ILS589882:ILS590089 IVO589882:IVO590089 JFK589882:JFK590089 JPG589882:JPG590089 JZC589882:JZC590089 KIY589882:KIY590089 KSU589882:KSU590089 LCQ589882:LCQ590089 LMM589882:LMM590089 LWI589882:LWI590089 MGE589882:MGE590089 MQA589882:MQA590089 MZW589882:MZW590089 NJS589882:NJS590089 NTO589882:NTO590089 ODK589882:ODK590089 ONG589882:ONG590089 OXC589882:OXC590089 PGY589882:PGY590089 PQU589882:PQU590089 QAQ589882:QAQ590089 QKM589882:QKM590089 QUI589882:QUI590089 REE589882:REE590089 ROA589882:ROA590089 RXW589882:RXW590089 SHS589882:SHS590089 SRO589882:SRO590089 TBK589882:TBK590089 TLG589882:TLG590089 TVC589882:TVC590089 UEY589882:UEY590089 UOU589882:UOU590089 UYQ589882:UYQ590089 VIM589882:VIM590089 VSI589882:VSI590089 WCE589882:WCE590089 WMA589882:WMA590089 WVW589882:WVW590089 N655418:N655625 JK655418:JK655625 TG655418:TG655625 ADC655418:ADC655625 AMY655418:AMY655625 AWU655418:AWU655625 BGQ655418:BGQ655625 BQM655418:BQM655625 CAI655418:CAI655625 CKE655418:CKE655625 CUA655418:CUA655625 DDW655418:DDW655625 DNS655418:DNS655625 DXO655418:DXO655625 EHK655418:EHK655625 ERG655418:ERG655625 FBC655418:FBC655625 FKY655418:FKY655625 FUU655418:FUU655625 GEQ655418:GEQ655625 GOM655418:GOM655625 GYI655418:GYI655625 HIE655418:HIE655625 HSA655418:HSA655625 IBW655418:IBW655625 ILS655418:ILS655625 IVO655418:IVO655625 JFK655418:JFK655625 JPG655418:JPG655625 JZC655418:JZC655625 KIY655418:KIY655625 KSU655418:KSU655625 LCQ655418:LCQ655625 LMM655418:LMM655625 LWI655418:LWI655625 MGE655418:MGE655625 MQA655418:MQA655625 MZW655418:MZW655625 NJS655418:NJS655625 NTO655418:NTO655625 ODK655418:ODK655625 ONG655418:ONG655625 OXC655418:OXC655625 PGY655418:PGY655625 PQU655418:PQU655625 QAQ655418:QAQ655625 QKM655418:QKM655625 QUI655418:QUI655625 REE655418:REE655625 ROA655418:ROA655625 RXW655418:RXW655625 SHS655418:SHS655625 SRO655418:SRO655625 TBK655418:TBK655625 TLG655418:TLG655625 TVC655418:TVC655625 UEY655418:UEY655625 UOU655418:UOU655625 UYQ655418:UYQ655625 VIM655418:VIM655625 VSI655418:VSI655625 WCE655418:WCE655625 WMA655418:WMA655625 WVW655418:WVW655625 N720954:N721161 JK720954:JK721161 TG720954:TG721161 ADC720954:ADC721161 AMY720954:AMY721161 AWU720954:AWU721161 BGQ720954:BGQ721161 BQM720954:BQM721161 CAI720954:CAI721161 CKE720954:CKE721161 CUA720954:CUA721161 DDW720954:DDW721161 DNS720954:DNS721161 DXO720954:DXO721161 EHK720954:EHK721161 ERG720954:ERG721161 FBC720954:FBC721161 FKY720954:FKY721161 FUU720954:FUU721161 GEQ720954:GEQ721161 GOM720954:GOM721161 GYI720954:GYI721161 HIE720954:HIE721161 HSA720954:HSA721161 IBW720954:IBW721161 ILS720954:ILS721161 IVO720954:IVO721161 JFK720954:JFK721161 JPG720954:JPG721161 JZC720954:JZC721161 KIY720954:KIY721161 KSU720954:KSU721161 LCQ720954:LCQ721161 LMM720954:LMM721161 LWI720954:LWI721161 MGE720954:MGE721161 MQA720954:MQA721161 MZW720954:MZW721161 NJS720954:NJS721161 NTO720954:NTO721161 ODK720954:ODK721161 ONG720954:ONG721161 OXC720954:OXC721161 PGY720954:PGY721161 PQU720954:PQU721161 QAQ720954:QAQ721161 QKM720954:QKM721161 QUI720954:QUI721161 REE720954:REE721161 ROA720954:ROA721161 RXW720954:RXW721161 SHS720954:SHS721161 SRO720954:SRO721161 TBK720954:TBK721161 TLG720954:TLG721161 TVC720954:TVC721161 UEY720954:UEY721161 UOU720954:UOU721161 UYQ720954:UYQ721161 VIM720954:VIM721161 VSI720954:VSI721161 WCE720954:WCE721161 WMA720954:WMA721161 WVW720954:WVW721161 N786490:N786697 JK786490:JK786697 TG786490:TG786697 ADC786490:ADC786697 AMY786490:AMY786697 AWU786490:AWU786697 BGQ786490:BGQ786697 BQM786490:BQM786697 CAI786490:CAI786697 CKE786490:CKE786697 CUA786490:CUA786697 DDW786490:DDW786697 DNS786490:DNS786697 DXO786490:DXO786697 EHK786490:EHK786697 ERG786490:ERG786697 FBC786490:FBC786697 FKY786490:FKY786697 FUU786490:FUU786697 GEQ786490:GEQ786697 GOM786490:GOM786697 GYI786490:GYI786697 HIE786490:HIE786697 HSA786490:HSA786697 IBW786490:IBW786697 ILS786490:ILS786697 IVO786490:IVO786697 JFK786490:JFK786697 JPG786490:JPG786697 JZC786490:JZC786697 KIY786490:KIY786697 KSU786490:KSU786697 LCQ786490:LCQ786697 LMM786490:LMM786697 LWI786490:LWI786697 MGE786490:MGE786697 MQA786490:MQA786697 MZW786490:MZW786697 NJS786490:NJS786697 NTO786490:NTO786697 ODK786490:ODK786697 ONG786490:ONG786697 OXC786490:OXC786697 PGY786490:PGY786697 PQU786490:PQU786697 QAQ786490:QAQ786697 QKM786490:QKM786697 QUI786490:QUI786697 REE786490:REE786697 ROA786490:ROA786697 RXW786490:RXW786697 SHS786490:SHS786697 SRO786490:SRO786697 TBK786490:TBK786697 TLG786490:TLG786697 TVC786490:TVC786697 UEY786490:UEY786697 UOU786490:UOU786697 UYQ786490:UYQ786697 VIM786490:VIM786697 VSI786490:VSI786697 WCE786490:WCE786697 WMA786490:WMA786697 WVW786490:WVW786697 N852026:N852233 JK852026:JK852233 TG852026:TG852233 ADC852026:ADC852233 AMY852026:AMY852233 AWU852026:AWU852233 BGQ852026:BGQ852233 BQM852026:BQM852233 CAI852026:CAI852233 CKE852026:CKE852233 CUA852026:CUA852233 DDW852026:DDW852233 DNS852026:DNS852233 DXO852026:DXO852233 EHK852026:EHK852233 ERG852026:ERG852233 FBC852026:FBC852233 FKY852026:FKY852233 FUU852026:FUU852233 GEQ852026:GEQ852233 GOM852026:GOM852233 GYI852026:GYI852233 HIE852026:HIE852233 HSA852026:HSA852233 IBW852026:IBW852233 ILS852026:ILS852233 IVO852026:IVO852233 JFK852026:JFK852233 JPG852026:JPG852233 JZC852026:JZC852233 KIY852026:KIY852233 KSU852026:KSU852233 LCQ852026:LCQ852233 LMM852026:LMM852233 LWI852026:LWI852233 MGE852026:MGE852233 MQA852026:MQA852233 MZW852026:MZW852233 NJS852026:NJS852233 NTO852026:NTO852233 ODK852026:ODK852233 ONG852026:ONG852233 OXC852026:OXC852233 PGY852026:PGY852233 PQU852026:PQU852233 QAQ852026:QAQ852233 QKM852026:QKM852233 QUI852026:QUI852233 REE852026:REE852233 ROA852026:ROA852233 RXW852026:RXW852233 SHS852026:SHS852233 SRO852026:SRO852233 TBK852026:TBK852233 TLG852026:TLG852233 TVC852026:TVC852233 UEY852026:UEY852233 UOU852026:UOU852233 UYQ852026:UYQ852233 VIM852026:VIM852233 VSI852026:VSI852233 WCE852026:WCE852233 WMA852026:WMA852233 WVW852026:WVW852233 N917562:N917769 JK917562:JK917769 TG917562:TG917769 ADC917562:ADC917769 AMY917562:AMY917769 AWU917562:AWU917769 BGQ917562:BGQ917769 BQM917562:BQM917769 CAI917562:CAI917769 CKE917562:CKE917769 CUA917562:CUA917769 DDW917562:DDW917769 DNS917562:DNS917769 DXO917562:DXO917769 EHK917562:EHK917769 ERG917562:ERG917769 FBC917562:FBC917769 FKY917562:FKY917769 FUU917562:FUU917769 GEQ917562:GEQ917769 GOM917562:GOM917769 GYI917562:GYI917769 HIE917562:HIE917769 HSA917562:HSA917769 IBW917562:IBW917769 ILS917562:ILS917769 IVO917562:IVO917769 JFK917562:JFK917769 JPG917562:JPG917769 JZC917562:JZC917769 KIY917562:KIY917769 KSU917562:KSU917769 LCQ917562:LCQ917769 LMM917562:LMM917769 LWI917562:LWI917769 MGE917562:MGE917769 MQA917562:MQA917769 MZW917562:MZW917769 NJS917562:NJS917769 NTO917562:NTO917769 ODK917562:ODK917769 ONG917562:ONG917769 OXC917562:OXC917769 PGY917562:PGY917769 PQU917562:PQU917769 QAQ917562:QAQ917769 QKM917562:QKM917769 QUI917562:QUI917769 REE917562:REE917769 ROA917562:ROA917769 RXW917562:RXW917769 SHS917562:SHS917769 SRO917562:SRO917769 TBK917562:TBK917769 TLG917562:TLG917769 TVC917562:TVC917769 UEY917562:UEY917769 UOU917562:UOU917769 UYQ917562:UYQ917769 VIM917562:VIM917769 VSI917562:VSI917769 WCE917562:WCE917769 WMA917562:WMA917769 WVW917562:WVW917769 N983098:N983305 JK983098:JK983305 TG983098:TG983305 ADC983098:ADC983305 AMY983098:AMY983305 AWU983098:AWU983305 BGQ983098:BGQ983305 BQM983098:BQM983305 CAI983098:CAI983305 CKE983098:CKE983305 CUA983098:CUA983305 DDW983098:DDW983305 DNS983098:DNS983305 DXO983098:DXO983305 EHK983098:EHK983305 ERG983098:ERG983305 FBC983098:FBC983305 FKY983098:FKY983305 FUU983098:FUU983305 GEQ983098:GEQ983305 GOM983098:GOM983305 GYI983098:GYI983305 HIE983098:HIE983305 HSA983098:HSA983305 IBW983098:IBW983305 ILS983098:ILS983305 IVO983098:IVO983305 JFK983098:JFK983305 JPG983098:JPG983305 JZC983098:JZC983305 KIY983098:KIY983305 KSU983098:KSU983305 LCQ983098:LCQ983305 LMM983098:LMM983305 LWI983098:LWI983305 MGE983098:MGE983305 MQA983098:MQA983305 MZW983098:MZW983305 NJS983098:NJS983305 NTO983098:NTO983305 ODK983098:ODK983305 ONG983098:ONG983305 OXC983098:OXC983305 PGY983098:PGY983305 PQU983098:PQU983305 QAQ983098:QAQ983305 QKM983098:QKM983305 QUI983098:QUI983305 REE983098:REE983305 ROA983098:ROA983305 RXW983098:RXW983305 SHS983098:SHS983305 SRO983098:SRO983305 TBK983098:TBK983305 TLG983098:TLG983305 TVC983098:TVC983305 UEY983098:UEY983305 UOU983098:UOU983305 UYQ983098:UYQ983305 VIM983098:VIM983305 VSI983098:VSI983305 WCE983098:WCE983305 WMA983098:WMA983305 N5:N33 N66:N265 WVW66:WVW265 WMA66:WMA265 WCE66:WCE265 VSI66:VSI265 VIM66:VIM265 UYQ66:UYQ265 UOU66:UOU265 UEY66:UEY265 TVC66:TVC265 TLG66:TLG265 TBK66:TBK265 SRO66:SRO265 SHS66:SHS265 RXW66:RXW265 ROA66:ROA265 REE66:REE265 QUI66:QUI265 QKM66:QKM265 QAQ66:QAQ265 PQU66:PQU265 PGY66:PGY265 OXC66:OXC265 ONG66:ONG265 ODK66:ODK265 NTO66:NTO265 NJS66:NJS265 MZW66:MZW265 MQA66:MQA265 MGE66:MGE265 LWI66:LWI265 LMM66:LMM265 LCQ66:LCQ265 KSU66:KSU265 KIY66:KIY265 JZC66:JZC265 JPG66:JPG265 JFK66:JFK265 IVO66:IVO265 ILS66:ILS265 IBW66:IBW265 HSA66:HSA265 HIE66:HIE265 GYI66:GYI265 GOM66:GOM265 GEQ66:GEQ265 FUU66:FUU265 FKY66:FKY265 FBC66:FBC265 ERG66:ERG265 EHK66:EHK265 DXO66:DXO265 DNS66:DNS265 DDW66:DDW265 CUA66:CUA265 CKE66:CKE265 CAI66:CAI265 BQM66:BQM265 BGQ66:BGQ265 AWU66:AWU265 AMY66:AMY265 ADC66:ADC265 TG66:TG265 JK66:JK265" xr:uid="{4C3402D2-73AB-1A4A-9828-0DA9839734BC}">
      <formula1>SINO</formula1>
    </dataValidation>
    <dataValidation type="list" allowBlank="1" showInputMessage="1" showErrorMessage="1" sqref="IY3:IY64 SU3:SU64 ACQ3:ACQ64 AMM3:AMM64 AWI3:AWI64 BGE3:BGE64 BQA3:BQA64 BZW3:BZW64 CJS3:CJS64 CTO3:CTO64 DDK3:DDK64 DNG3:DNG64 DXC3:DXC64 EGY3:EGY64 EQU3:EQU64 FAQ3:FAQ64 FKM3:FKM64 FUI3:FUI64 GEE3:GEE64 GOA3:GOA64 GXW3:GXW64 HHS3:HHS64 HRO3:HRO64 IBK3:IBK64 ILG3:ILG64 IVC3:IVC64 JEY3:JEY64 JOU3:JOU64 JYQ3:JYQ64 KIM3:KIM64 KSI3:KSI64 LCE3:LCE64 LMA3:LMA64 LVW3:LVW64 MFS3:MFS64 MPO3:MPO64 MZK3:MZK64 NJG3:NJG64 NTC3:NTC64 OCY3:OCY64 OMU3:OMU64 OWQ3:OWQ64 PGM3:PGM64 PQI3:PQI64 QAE3:QAE64 QKA3:QKA64 QTW3:QTW64 RDS3:RDS64 RNO3:RNO64 RXK3:RXK64 SHG3:SHG64 SRC3:SRC64 TAY3:TAY64 TKU3:TKU64 TUQ3:TUQ64 UEM3:UEM64 UOI3:UOI64 UYE3:UYE64 VIA3:VIA64 VRW3:VRW64 WBS3:WBS64 WLO3:WLO64 WVK3:WVK64 C65538:C65592 IY65538:IY65592 SU65538:SU65592 ACQ65538:ACQ65592 AMM65538:AMM65592 AWI65538:AWI65592 BGE65538:BGE65592 BQA65538:BQA65592 BZW65538:BZW65592 CJS65538:CJS65592 CTO65538:CTO65592 DDK65538:DDK65592 DNG65538:DNG65592 DXC65538:DXC65592 EGY65538:EGY65592 EQU65538:EQU65592 FAQ65538:FAQ65592 FKM65538:FKM65592 FUI65538:FUI65592 GEE65538:GEE65592 GOA65538:GOA65592 GXW65538:GXW65592 HHS65538:HHS65592 HRO65538:HRO65592 IBK65538:IBK65592 ILG65538:ILG65592 IVC65538:IVC65592 JEY65538:JEY65592 JOU65538:JOU65592 JYQ65538:JYQ65592 KIM65538:KIM65592 KSI65538:KSI65592 LCE65538:LCE65592 LMA65538:LMA65592 LVW65538:LVW65592 MFS65538:MFS65592 MPO65538:MPO65592 MZK65538:MZK65592 NJG65538:NJG65592 NTC65538:NTC65592 OCY65538:OCY65592 OMU65538:OMU65592 OWQ65538:OWQ65592 PGM65538:PGM65592 PQI65538:PQI65592 QAE65538:QAE65592 QKA65538:QKA65592 QTW65538:QTW65592 RDS65538:RDS65592 RNO65538:RNO65592 RXK65538:RXK65592 SHG65538:SHG65592 SRC65538:SRC65592 TAY65538:TAY65592 TKU65538:TKU65592 TUQ65538:TUQ65592 UEM65538:UEM65592 UOI65538:UOI65592 UYE65538:UYE65592 VIA65538:VIA65592 VRW65538:VRW65592 WBS65538:WBS65592 WLO65538:WLO65592 WVK65538:WVK65592 C131074:C131128 IY131074:IY131128 SU131074:SU131128 ACQ131074:ACQ131128 AMM131074:AMM131128 AWI131074:AWI131128 BGE131074:BGE131128 BQA131074:BQA131128 BZW131074:BZW131128 CJS131074:CJS131128 CTO131074:CTO131128 DDK131074:DDK131128 DNG131074:DNG131128 DXC131074:DXC131128 EGY131074:EGY131128 EQU131074:EQU131128 FAQ131074:FAQ131128 FKM131074:FKM131128 FUI131074:FUI131128 GEE131074:GEE131128 GOA131074:GOA131128 GXW131074:GXW131128 HHS131074:HHS131128 HRO131074:HRO131128 IBK131074:IBK131128 ILG131074:ILG131128 IVC131074:IVC131128 JEY131074:JEY131128 JOU131074:JOU131128 JYQ131074:JYQ131128 KIM131074:KIM131128 KSI131074:KSI131128 LCE131074:LCE131128 LMA131074:LMA131128 LVW131074:LVW131128 MFS131074:MFS131128 MPO131074:MPO131128 MZK131074:MZK131128 NJG131074:NJG131128 NTC131074:NTC131128 OCY131074:OCY131128 OMU131074:OMU131128 OWQ131074:OWQ131128 PGM131074:PGM131128 PQI131074:PQI131128 QAE131074:QAE131128 QKA131074:QKA131128 QTW131074:QTW131128 RDS131074:RDS131128 RNO131074:RNO131128 RXK131074:RXK131128 SHG131074:SHG131128 SRC131074:SRC131128 TAY131074:TAY131128 TKU131074:TKU131128 TUQ131074:TUQ131128 UEM131074:UEM131128 UOI131074:UOI131128 UYE131074:UYE131128 VIA131074:VIA131128 VRW131074:VRW131128 WBS131074:WBS131128 WLO131074:WLO131128 WVK131074:WVK131128 C196610:C196664 IY196610:IY196664 SU196610:SU196664 ACQ196610:ACQ196664 AMM196610:AMM196664 AWI196610:AWI196664 BGE196610:BGE196664 BQA196610:BQA196664 BZW196610:BZW196664 CJS196610:CJS196664 CTO196610:CTO196664 DDK196610:DDK196664 DNG196610:DNG196664 DXC196610:DXC196664 EGY196610:EGY196664 EQU196610:EQU196664 FAQ196610:FAQ196664 FKM196610:FKM196664 FUI196610:FUI196664 GEE196610:GEE196664 GOA196610:GOA196664 GXW196610:GXW196664 HHS196610:HHS196664 HRO196610:HRO196664 IBK196610:IBK196664 ILG196610:ILG196664 IVC196610:IVC196664 JEY196610:JEY196664 JOU196610:JOU196664 JYQ196610:JYQ196664 KIM196610:KIM196664 KSI196610:KSI196664 LCE196610:LCE196664 LMA196610:LMA196664 LVW196610:LVW196664 MFS196610:MFS196664 MPO196610:MPO196664 MZK196610:MZK196664 NJG196610:NJG196664 NTC196610:NTC196664 OCY196610:OCY196664 OMU196610:OMU196664 OWQ196610:OWQ196664 PGM196610:PGM196664 PQI196610:PQI196664 QAE196610:QAE196664 QKA196610:QKA196664 QTW196610:QTW196664 RDS196610:RDS196664 RNO196610:RNO196664 RXK196610:RXK196664 SHG196610:SHG196664 SRC196610:SRC196664 TAY196610:TAY196664 TKU196610:TKU196664 TUQ196610:TUQ196664 UEM196610:UEM196664 UOI196610:UOI196664 UYE196610:UYE196664 VIA196610:VIA196664 VRW196610:VRW196664 WBS196610:WBS196664 WLO196610:WLO196664 WVK196610:WVK196664 C262146:C262200 IY262146:IY262200 SU262146:SU262200 ACQ262146:ACQ262200 AMM262146:AMM262200 AWI262146:AWI262200 BGE262146:BGE262200 BQA262146:BQA262200 BZW262146:BZW262200 CJS262146:CJS262200 CTO262146:CTO262200 DDK262146:DDK262200 DNG262146:DNG262200 DXC262146:DXC262200 EGY262146:EGY262200 EQU262146:EQU262200 FAQ262146:FAQ262200 FKM262146:FKM262200 FUI262146:FUI262200 GEE262146:GEE262200 GOA262146:GOA262200 GXW262146:GXW262200 HHS262146:HHS262200 HRO262146:HRO262200 IBK262146:IBK262200 ILG262146:ILG262200 IVC262146:IVC262200 JEY262146:JEY262200 JOU262146:JOU262200 JYQ262146:JYQ262200 KIM262146:KIM262200 KSI262146:KSI262200 LCE262146:LCE262200 LMA262146:LMA262200 LVW262146:LVW262200 MFS262146:MFS262200 MPO262146:MPO262200 MZK262146:MZK262200 NJG262146:NJG262200 NTC262146:NTC262200 OCY262146:OCY262200 OMU262146:OMU262200 OWQ262146:OWQ262200 PGM262146:PGM262200 PQI262146:PQI262200 QAE262146:QAE262200 QKA262146:QKA262200 QTW262146:QTW262200 RDS262146:RDS262200 RNO262146:RNO262200 RXK262146:RXK262200 SHG262146:SHG262200 SRC262146:SRC262200 TAY262146:TAY262200 TKU262146:TKU262200 TUQ262146:TUQ262200 UEM262146:UEM262200 UOI262146:UOI262200 UYE262146:UYE262200 VIA262146:VIA262200 VRW262146:VRW262200 WBS262146:WBS262200 WLO262146:WLO262200 WVK262146:WVK262200 C327682:C327736 IY327682:IY327736 SU327682:SU327736 ACQ327682:ACQ327736 AMM327682:AMM327736 AWI327682:AWI327736 BGE327682:BGE327736 BQA327682:BQA327736 BZW327682:BZW327736 CJS327682:CJS327736 CTO327682:CTO327736 DDK327682:DDK327736 DNG327682:DNG327736 DXC327682:DXC327736 EGY327682:EGY327736 EQU327682:EQU327736 FAQ327682:FAQ327736 FKM327682:FKM327736 FUI327682:FUI327736 GEE327682:GEE327736 GOA327682:GOA327736 GXW327682:GXW327736 HHS327682:HHS327736 HRO327682:HRO327736 IBK327682:IBK327736 ILG327682:ILG327736 IVC327682:IVC327736 JEY327682:JEY327736 JOU327682:JOU327736 JYQ327682:JYQ327736 KIM327682:KIM327736 KSI327682:KSI327736 LCE327682:LCE327736 LMA327682:LMA327736 LVW327682:LVW327736 MFS327682:MFS327736 MPO327682:MPO327736 MZK327682:MZK327736 NJG327682:NJG327736 NTC327682:NTC327736 OCY327682:OCY327736 OMU327682:OMU327736 OWQ327682:OWQ327736 PGM327682:PGM327736 PQI327682:PQI327736 QAE327682:QAE327736 QKA327682:QKA327736 QTW327682:QTW327736 RDS327682:RDS327736 RNO327682:RNO327736 RXK327682:RXK327736 SHG327682:SHG327736 SRC327682:SRC327736 TAY327682:TAY327736 TKU327682:TKU327736 TUQ327682:TUQ327736 UEM327682:UEM327736 UOI327682:UOI327736 UYE327682:UYE327736 VIA327682:VIA327736 VRW327682:VRW327736 WBS327682:WBS327736 WLO327682:WLO327736 WVK327682:WVK327736 C393218:C393272 IY393218:IY393272 SU393218:SU393272 ACQ393218:ACQ393272 AMM393218:AMM393272 AWI393218:AWI393272 BGE393218:BGE393272 BQA393218:BQA393272 BZW393218:BZW393272 CJS393218:CJS393272 CTO393218:CTO393272 DDK393218:DDK393272 DNG393218:DNG393272 DXC393218:DXC393272 EGY393218:EGY393272 EQU393218:EQU393272 FAQ393218:FAQ393272 FKM393218:FKM393272 FUI393218:FUI393272 GEE393218:GEE393272 GOA393218:GOA393272 GXW393218:GXW393272 HHS393218:HHS393272 HRO393218:HRO393272 IBK393218:IBK393272 ILG393218:ILG393272 IVC393218:IVC393272 JEY393218:JEY393272 JOU393218:JOU393272 JYQ393218:JYQ393272 KIM393218:KIM393272 KSI393218:KSI393272 LCE393218:LCE393272 LMA393218:LMA393272 LVW393218:LVW393272 MFS393218:MFS393272 MPO393218:MPO393272 MZK393218:MZK393272 NJG393218:NJG393272 NTC393218:NTC393272 OCY393218:OCY393272 OMU393218:OMU393272 OWQ393218:OWQ393272 PGM393218:PGM393272 PQI393218:PQI393272 QAE393218:QAE393272 QKA393218:QKA393272 QTW393218:QTW393272 RDS393218:RDS393272 RNO393218:RNO393272 RXK393218:RXK393272 SHG393218:SHG393272 SRC393218:SRC393272 TAY393218:TAY393272 TKU393218:TKU393272 TUQ393218:TUQ393272 UEM393218:UEM393272 UOI393218:UOI393272 UYE393218:UYE393272 VIA393218:VIA393272 VRW393218:VRW393272 WBS393218:WBS393272 WLO393218:WLO393272 WVK393218:WVK393272 C458754:C458808 IY458754:IY458808 SU458754:SU458808 ACQ458754:ACQ458808 AMM458754:AMM458808 AWI458754:AWI458808 BGE458754:BGE458808 BQA458754:BQA458808 BZW458754:BZW458808 CJS458754:CJS458808 CTO458754:CTO458808 DDK458754:DDK458808 DNG458754:DNG458808 DXC458754:DXC458808 EGY458754:EGY458808 EQU458754:EQU458808 FAQ458754:FAQ458808 FKM458754:FKM458808 FUI458754:FUI458808 GEE458754:GEE458808 GOA458754:GOA458808 GXW458754:GXW458808 HHS458754:HHS458808 HRO458754:HRO458808 IBK458754:IBK458808 ILG458754:ILG458808 IVC458754:IVC458808 JEY458754:JEY458808 JOU458754:JOU458808 JYQ458754:JYQ458808 KIM458754:KIM458808 KSI458754:KSI458808 LCE458754:LCE458808 LMA458754:LMA458808 LVW458754:LVW458808 MFS458754:MFS458808 MPO458754:MPO458808 MZK458754:MZK458808 NJG458754:NJG458808 NTC458754:NTC458808 OCY458754:OCY458808 OMU458754:OMU458808 OWQ458754:OWQ458808 PGM458754:PGM458808 PQI458754:PQI458808 QAE458754:QAE458808 QKA458754:QKA458808 QTW458754:QTW458808 RDS458754:RDS458808 RNO458754:RNO458808 RXK458754:RXK458808 SHG458754:SHG458808 SRC458754:SRC458808 TAY458754:TAY458808 TKU458754:TKU458808 TUQ458754:TUQ458808 UEM458754:UEM458808 UOI458754:UOI458808 UYE458754:UYE458808 VIA458754:VIA458808 VRW458754:VRW458808 WBS458754:WBS458808 WLO458754:WLO458808 WVK458754:WVK458808 C524290:C524344 IY524290:IY524344 SU524290:SU524344 ACQ524290:ACQ524344 AMM524290:AMM524344 AWI524290:AWI524344 BGE524290:BGE524344 BQA524290:BQA524344 BZW524290:BZW524344 CJS524290:CJS524344 CTO524290:CTO524344 DDK524290:DDK524344 DNG524290:DNG524344 DXC524290:DXC524344 EGY524290:EGY524344 EQU524290:EQU524344 FAQ524290:FAQ524344 FKM524290:FKM524344 FUI524290:FUI524344 GEE524290:GEE524344 GOA524290:GOA524344 GXW524290:GXW524344 HHS524290:HHS524344 HRO524290:HRO524344 IBK524290:IBK524344 ILG524290:ILG524344 IVC524290:IVC524344 JEY524290:JEY524344 JOU524290:JOU524344 JYQ524290:JYQ524344 KIM524290:KIM524344 KSI524290:KSI524344 LCE524290:LCE524344 LMA524290:LMA524344 LVW524290:LVW524344 MFS524290:MFS524344 MPO524290:MPO524344 MZK524290:MZK524344 NJG524290:NJG524344 NTC524290:NTC524344 OCY524290:OCY524344 OMU524290:OMU524344 OWQ524290:OWQ524344 PGM524290:PGM524344 PQI524290:PQI524344 QAE524290:QAE524344 QKA524290:QKA524344 QTW524290:QTW524344 RDS524290:RDS524344 RNO524290:RNO524344 RXK524290:RXK524344 SHG524290:SHG524344 SRC524290:SRC524344 TAY524290:TAY524344 TKU524290:TKU524344 TUQ524290:TUQ524344 UEM524290:UEM524344 UOI524290:UOI524344 UYE524290:UYE524344 VIA524290:VIA524344 VRW524290:VRW524344 WBS524290:WBS524344 WLO524290:WLO524344 WVK524290:WVK524344 C589826:C589880 IY589826:IY589880 SU589826:SU589880 ACQ589826:ACQ589880 AMM589826:AMM589880 AWI589826:AWI589880 BGE589826:BGE589880 BQA589826:BQA589880 BZW589826:BZW589880 CJS589826:CJS589880 CTO589826:CTO589880 DDK589826:DDK589880 DNG589826:DNG589880 DXC589826:DXC589880 EGY589826:EGY589880 EQU589826:EQU589880 FAQ589826:FAQ589880 FKM589826:FKM589880 FUI589826:FUI589880 GEE589826:GEE589880 GOA589826:GOA589880 GXW589826:GXW589880 HHS589826:HHS589880 HRO589826:HRO589880 IBK589826:IBK589880 ILG589826:ILG589880 IVC589826:IVC589880 JEY589826:JEY589880 JOU589826:JOU589880 JYQ589826:JYQ589880 KIM589826:KIM589880 KSI589826:KSI589880 LCE589826:LCE589880 LMA589826:LMA589880 LVW589826:LVW589880 MFS589826:MFS589880 MPO589826:MPO589880 MZK589826:MZK589880 NJG589826:NJG589880 NTC589826:NTC589880 OCY589826:OCY589880 OMU589826:OMU589880 OWQ589826:OWQ589880 PGM589826:PGM589880 PQI589826:PQI589880 QAE589826:QAE589880 QKA589826:QKA589880 QTW589826:QTW589880 RDS589826:RDS589880 RNO589826:RNO589880 RXK589826:RXK589880 SHG589826:SHG589880 SRC589826:SRC589880 TAY589826:TAY589880 TKU589826:TKU589880 TUQ589826:TUQ589880 UEM589826:UEM589880 UOI589826:UOI589880 UYE589826:UYE589880 VIA589826:VIA589880 VRW589826:VRW589880 WBS589826:WBS589880 WLO589826:WLO589880 WVK589826:WVK589880 C655362:C655416 IY655362:IY655416 SU655362:SU655416 ACQ655362:ACQ655416 AMM655362:AMM655416 AWI655362:AWI655416 BGE655362:BGE655416 BQA655362:BQA655416 BZW655362:BZW655416 CJS655362:CJS655416 CTO655362:CTO655416 DDK655362:DDK655416 DNG655362:DNG655416 DXC655362:DXC655416 EGY655362:EGY655416 EQU655362:EQU655416 FAQ655362:FAQ655416 FKM655362:FKM655416 FUI655362:FUI655416 GEE655362:GEE655416 GOA655362:GOA655416 GXW655362:GXW655416 HHS655362:HHS655416 HRO655362:HRO655416 IBK655362:IBK655416 ILG655362:ILG655416 IVC655362:IVC655416 JEY655362:JEY655416 JOU655362:JOU655416 JYQ655362:JYQ655416 KIM655362:KIM655416 KSI655362:KSI655416 LCE655362:LCE655416 LMA655362:LMA655416 LVW655362:LVW655416 MFS655362:MFS655416 MPO655362:MPO655416 MZK655362:MZK655416 NJG655362:NJG655416 NTC655362:NTC655416 OCY655362:OCY655416 OMU655362:OMU655416 OWQ655362:OWQ655416 PGM655362:PGM655416 PQI655362:PQI655416 QAE655362:QAE655416 QKA655362:QKA655416 QTW655362:QTW655416 RDS655362:RDS655416 RNO655362:RNO655416 RXK655362:RXK655416 SHG655362:SHG655416 SRC655362:SRC655416 TAY655362:TAY655416 TKU655362:TKU655416 TUQ655362:TUQ655416 UEM655362:UEM655416 UOI655362:UOI655416 UYE655362:UYE655416 VIA655362:VIA655416 VRW655362:VRW655416 WBS655362:WBS655416 WLO655362:WLO655416 WVK655362:WVK655416 C720898:C720952 IY720898:IY720952 SU720898:SU720952 ACQ720898:ACQ720952 AMM720898:AMM720952 AWI720898:AWI720952 BGE720898:BGE720952 BQA720898:BQA720952 BZW720898:BZW720952 CJS720898:CJS720952 CTO720898:CTO720952 DDK720898:DDK720952 DNG720898:DNG720952 DXC720898:DXC720952 EGY720898:EGY720952 EQU720898:EQU720952 FAQ720898:FAQ720952 FKM720898:FKM720952 FUI720898:FUI720952 GEE720898:GEE720952 GOA720898:GOA720952 GXW720898:GXW720952 HHS720898:HHS720952 HRO720898:HRO720952 IBK720898:IBK720952 ILG720898:ILG720952 IVC720898:IVC720952 JEY720898:JEY720952 JOU720898:JOU720952 JYQ720898:JYQ720952 KIM720898:KIM720952 KSI720898:KSI720952 LCE720898:LCE720952 LMA720898:LMA720952 LVW720898:LVW720952 MFS720898:MFS720952 MPO720898:MPO720952 MZK720898:MZK720952 NJG720898:NJG720952 NTC720898:NTC720952 OCY720898:OCY720952 OMU720898:OMU720952 OWQ720898:OWQ720952 PGM720898:PGM720952 PQI720898:PQI720952 QAE720898:QAE720952 QKA720898:QKA720952 QTW720898:QTW720952 RDS720898:RDS720952 RNO720898:RNO720952 RXK720898:RXK720952 SHG720898:SHG720952 SRC720898:SRC720952 TAY720898:TAY720952 TKU720898:TKU720952 TUQ720898:TUQ720952 UEM720898:UEM720952 UOI720898:UOI720952 UYE720898:UYE720952 VIA720898:VIA720952 VRW720898:VRW720952 WBS720898:WBS720952 WLO720898:WLO720952 WVK720898:WVK720952 C786434:C786488 IY786434:IY786488 SU786434:SU786488 ACQ786434:ACQ786488 AMM786434:AMM786488 AWI786434:AWI786488 BGE786434:BGE786488 BQA786434:BQA786488 BZW786434:BZW786488 CJS786434:CJS786488 CTO786434:CTO786488 DDK786434:DDK786488 DNG786434:DNG786488 DXC786434:DXC786488 EGY786434:EGY786488 EQU786434:EQU786488 FAQ786434:FAQ786488 FKM786434:FKM786488 FUI786434:FUI786488 GEE786434:GEE786488 GOA786434:GOA786488 GXW786434:GXW786488 HHS786434:HHS786488 HRO786434:HRO786488 IBK786434:IBK786488 ILG786434:ILG786488 IVC786434:IVC786488 JEY786434:JEY786488 JOU786434:JOU786488 JYQ786434:JYQ786488 KIM786434:KIM786488 KSI786434:KSI786488 LCE786434:LCE786488 LMA786434:LMA786488 LVW786434:LVW786488 MFS786434:MFS786488 MPO786434:MPO786488 MZK786434:MZK786488 NJG786434:NJG786488 NTC786434:NTC786488 OCY786434:OCY786488 OMU786434:OMU786488 OWQ786434:OWQ786488 PGM786434:PGM786488 PQI786434:PQI786488 QAE786434:QAE786488 QKA786434:QKA786488 QTW786434:QTW786488 RDS786434:RDS786488 RNO786434:RNO786488 RXK786434:RXK786488 SHG786434:SHG786488 SRC786434:SRC786488 TAY786434:TAY786488 TKU786434:TKU786488 TUQ786434:TUQ786488 UEM786434:UEM786488 UOI786434:UOI786488 UYE786434:UYE786488 VIA786434:VIA786488 VRW786434:VRW786488 WBS786434:WBS786488 WLO786434:WLO786488 WVK786434:WVK786488 C851970:C852024 IY851970:IY852024 SU851970:SU852024 ACQ851970:ACQ852024 AMM851970:AMM852024 AWI851970:AWI852024 BGE851970:BGE852024 BQA851970:BQA852024 BZW851970:BZW852024 CJS851970:CJS852024 CTO851970:CTO852024 DDK851970:DDK852024 DNG851970:DNG852024 DXC851970:DXC852024 EGY851970:EGY852024 EQU851970:EQU852024 FAQ851970:FAQ852024 FKM851970:FKM852024 FUI851970:FUI852024 GEE851970:GEE852024 GOA851970:GOA852024 GXW851970:GXW852024 HHS851970:HHS852024 HRO851970:HRO852024 IBK851970:IBK852024 ILG851970:ILG852024 IVC851970:IVC852024 JEY851970:JEY852024 JOU851970:JOU852024 JYQ851970:JYQ852024 KIM851970:KIM852024 KSI851970:KSI852024 LCE851970:LCE852024 LMA851970:LMA852024 LVW851970:LVW852024 MFS851970:MFS852024 MPO851970:MPO852024 MZK851970:MZK852024 NJG851970:NJG852024 NTC851970:NTC852024 OCY851970:OCY852024 OMU851970:OMU852024 OWQ851970:OWQ852024 PGM851970:PGM852024 PQI851970:PQI852024 QAE851970:QAE852024 QKA851970:QKA852024 QTW851970:QTW852024 RDS851970:RDS852024 RNO851970:RNO852024 RXK851970:RXK852024 SHG851970:SHG852024 SRC851970:SRC852024 TAY851970:TAY852024 TKU851970:TKU852024 TUQ851970:TUQ852024 UEM851970:UEM852024 UOI851970:UOI852024 UYE851970:UYE852024 VIA851970:VIA852024 VRW851970:VRW852024 WBS851970:WBS852024 WLO851970:WLO852024 WVK851970:WVK852024 C917506:C917560 IY917506:IY917560 SU917506:SU917560 ACQ917506:ACQ917560 AMM917506:AMM917560 AWI917506:AWI917560 BGE917506:BGE917560 BQA917506:BQA917560 BZW917506:BZW917560 CJS917506:CJS917560 CTO917506:CTO917560 DDK917506:DDK917560 DNG917506:DNG917560 DXC917506:DXC917560 EGY917506:EGY917560 EQU917506:EQU917560 FAQ917506:FAQ917560 FKM917506:FKM917560 FUI917506:FUI917560 GEE917506:GEE917560 GOA917506:GOA917560 GXW917506:GXW917560 HHS917506:HHS917560 HRO917506:HRO917560 IBK917506:IBK917560 ILG917506:ILG917560 IVC917506:IVC917560 JEY917506:JEY917560 JOU917506:JOU917560 JYQ917506:JYQ917560 KIM917506:KIM917560 KSI917506:KSI917560 LCE917506:LCE917560 LMA917506:LMA917560 LVW917506:LVW917560 MFS917506:MFS917560 MPO917506:MPO917560 MZK917506:MZK917560 NJG917506:NJG917560 NTC917506:NTC917560 OCY917506:OCY917560 OMU917506:OMU917560 OWQ917506:OWQ917560 PGM917506:PGM917560 PQI917506:PQI917560 QAE917506:QAE917560 QKA917506:QKA917560 QTW917506:QTW917560 RDS917506:RDS917560 RNO917506:RNO917560 RXK917506:RXK917560 SHG917506:SHG917560 SRC917506:SRC917560 TAY917506:TAY917560 TKU917506:TKU917560 TUQ917506:TUQ917560 UEM917506:UEM917560 UOI917506:UOI917560 UYE917506:UYE917560 VIA917506:VIA917560 VRW917506:VRW917560 WBS917506:WBS917560 WLO917506:WLO917560 WVK917506:WVK917560 C983042:C983096 IY983042:IY983096 SU983042:SU983096 ACQ983042:ACQ983096 AMM983042:AMM983096 AWI983042:AWI983096 BGE983042:BGE983096 BQA983042:BQA983096 BZW983042:BZW983096 CJS983042:CJS983096 CTO983042:CTO983096 DDK983042:DDK983096 DNG983042:DNG983096 DXC983042:DXC983096 EGY983042:EGY983096 EQU983042:EQU983096 FAQ983042:FAQ983096 FKM983042:FKM983096 FUI983042:FUI983096 GEE983042:GEE983096 GOA983042:GOA983096 GXW983042:GXW983096 HHS983042:HHS983096 HRO983042:HRO983096 IBK983042:IBK983096 ILG983042:ILG983096 IVC983042:IVC983096 JEY983042:JEY983096 JOU983042:JOU983096 JYQ983042:JYQ983096 KIM983042:KIM983096 KSI983042:KSI983096 LCE983042:LCE983096 LMA983042:LMA983096 LVW983042:LVW983096 MFS983042:MFS983096 MPO983042:MPO983096 MZK983042:MZK983096 NJG983042:NJG983096 NTC983042:NTC983096 OCY983042:OCY983096 OMU983042:OMU983096 OWQ983042:OWQ983096 PGM983042:PGM983096 PQI983042:PQI983096 QAE983042:QAE983096 QKA983042:QKA983096 QTW983042:QTW983096 RDS983042:RDS983096 RNO983042:RNO983096 RXK983042:RXK983096 SHG983042:SHG983096 SRC983042:SRC983096 TAY983042:TAY983096 TKU983042:TKU983096 TUQ983042:TUQ983096 UEM983042:UEM983096 UOI983042:UOI983096 UYE983042:UYE983096 VIA983042:VIA983096 VRW983042:VRW983096 WBS983042:WBS983096 WLO983042:WLO983096 WVK983042:WVK983096 C65594:C65899 IY65594:IY65899 SU65594:SU65899 ACQ65594:ACQ65899 AMM65594:AMM65899 AWI65594:AWI65899 BGE65594:BGE65899 BQA65594:BQA65899 BZW65594:BZW65899 CJS65594:CJS65899 CTO65594:CTO65899 DDK65594:DDK65899 DNG65594:DNG65899 DXC65594:DXC65899 EGY65594:EGY65899 EQU65594:EQU65899 FAQ65594:FAQ65899 FKM65594:FKM65899 FUI65594:FUI65899 GEE65594:GEE65899 GOA65594:GOA65899 GXW65594:GXW65899 HHS65594:HHS65899 HRO65594:HRO65899 IBK65594:IBK65899 ILG65594:ILG65899 IVC65594:IVC65899 JEY65594:JEY65899 JOU65594:JOU65899 JYQ65594:JYQ65899 KIM65594:KIM65899 KSI65594:KSI65899 LCE65594:LCE65899 LMA65594:LMA65899 LVW65594:LVW65899 MFS65594:MFS65899 MPO65594:MPO65899 MZK65594:MZK65899 NJG65594:NJG65899 NTC65594:NTC65899 OCY65594:OCY65899 OMU65594:OMU65899 OWQ65594:OWQ65899 PGM65594:PGM65899 PQI65594:PQI65899 QAE65594:QAE65899 QKA65594:QKA65899 QTW65594:QTW65899 RDS65594:RDS65899 RNO65594:RNO65899 RXK65594:RXK65899 SHG65594:SHG65899 SRC65594:SRC65899 TAY65594:TAY65899 TKU65594:TKU65899 TUQ65594:TUQ65899 UEM65594:UEM65899 UOI65594:UOI65899 UYE65594:UYE65899 VIA65594:VIA65899 VRW65594:VRW65899 WBS65594:WBS65899 WLO65594:WLO65899 WVK65594:WVK65899 C131130:C131435 IY131130:IY131435 SU131130:SU131435 ACQ131130:ACQ131435 AMM131130:AMM131435 AWI131130:AWI131435 BGE131130:BGE131435 BQA131130:BQA131435 BZW131130:BZW131435 CJS131130:CJS131435 CTO131130:CTO131435 DDK131130:DDK131435 DNG131130:DNG131435 DXC131130:DXC131435 EGY131130:EGY131435 EQU131130:EQU131435 FAQ131130:FAQ131435 FKM131130:FKM131435 FUI131130:FUI131435 GEE131130:GEE131435 GOA131130:GOA131435 GXW131130:GXW131435 HHS131130:HHS131435 HRO131130:HRO131435 IBK131130:IBK131435 ILG131130:ILG131435 IVC131130:IVC131435 JEY131130:JEY131435 JOU131130:JOU131435 JYQ131130:JYQ131435 KIM131130:KIM131435 KSI131130:KSI131435 LCE131130:LCE131435 LMA131130:LMA131435 LVW131130:LVW131435 MFS131130:MFS131435 MPO131130:MPO131435 MZK131130:MZK131435 NJG131130:NJG131435 NTC131130:NTC131435 OCY131130:OCY131435 OMU131130:OMU131435 OWQ131130:OWQ131435 PGM131130:PGM131435 PQI131130:PQI131435 QAE131130:QAE131435 QKA131130:QKA131435 QTW131130:QTW131435 RDS131130:RDS131435 RNO131130:RNO131435 RXK131130:RXK131435 SHG131130:SHG131435 SRC131130:SRC131435 TAY131130:TAY131435 TKU131130:TKU131435 TUQ131130:TUQ131435 UEM131130:UEM131435 UOI131130:UOI131435 UYE131130:UYE131435 VIA131130:VIA131435 VRW131130:VRW131435 WBS131130:WBS131435 WLO131130:WLO131435 WVK131130:WVK131435 C196666:C196971 IY196666:IY196971 SU196666:SU196971 ACQ196666:ACQ196971 AMM196666:AMM196971 AWI196666:AWI196971 BGE196666:BGE196971 BQA196666:BQA196971 BZW196666:BZW196971 CJS196666:CJS196971 CTO196666:CTO196971 DDK196666:DDK196971 DNG196666:DNG196971 DXC196666:DXC196971 EGY196666:EGY196971 EQU196666:EQU196971 FAQ196666:FAQ196971 FKM196666:FKM196971 FUI196666:FUI196971 GEE196666:GEE196971 GOA196666:GOA196971 GXW196666:GXW196971 HHS196666:HHS196971 HRO196666:HRO196971 IBK196666:IBK196971 ILG196666:ILG196971 IVC196666:IVC196971 JEY196666:JEY196971 JOU196666:JOU196971 JYQ196666:JYQ196971 KIM196666:KIM196971 KSI196666:KSI196971 LCE196666:LCE196971 LMA196666:LMA196971 LVW196666:LVW196971 MFS196666:MFS196971 MPO196666:MPO196971 MZK196666:MZK196971 NJG196666:NJG196971 NTC196666:NTC196971 OCY196666:OCY196971 OMU196666:OMU196971 OWQ196666:OWQ196971 PGM196666:PGM196971 PQI196666:PQI196971 QAE196666:QAE196971 QKA196666:QKA196971 QTW196666:QTW196971 RDS196666:RDS196971 RNO196666:RNO196971 RXK196666:RXK196971 SHG196666:SHG196971 SRC196666:SRC196971 TAY196666:TAY196971 TKU196666:TKU196971 TUQ196666:TUQ196971 UEM196666:UEM196971 UOI196666:UOI196971 UYE196666:UYE196971 VIA196666:VIA196971 VRW196666:VRW196971 WBS196666:WBS196971 WLO196666:WLO196971 WVK196666:WVK196971 C262202:C262507 IY262202:IY262507 SU262202:SU262507 ACQ262202:ACQ262507 AMM262202:AMM262507 AWI262202:AWI262507 BGE262202:BGE262507 BQA262202:BQA262507 BZW262202:BZW262507 CJS262202:CJS262507 CTO262202:CTO262507 DDK262202:DDK262507 DNG262202:DNG262507 DXC262202:DXC262507 EGY262202:EGY262507 EQU262202:EQU262507 FAQ262202:FAQ262507 FKM262202:FKM262507 FUI262202:FUI262507 GEE262202:GEE262507 GOA262202:GOA262507 GXW262202:GXW262507 HHS262202:HHS262507 HRO262202:HRO262507 IBK262202:IBK262507 ILG262202:ILG262507 IVC262202:IVC262507 JEY262202:JEY262507 JOU262202:JOU262507 JYQ262202:JYQ262507 KIM262202:KIM262507 KSI262202:KSI262507 LCE262202:LCE262507 LMA262202:LMA262507 LVW262202:LVW262507 MFS262202:MFS262507 MPO262202:MPO262507 MZK262202:MZK262507 NJG262202:NJG262507 NTC262202:NTC262507 OCY262202:OCY262507 OMU262202:OMU262507 OWQ262202:OWQ262507 PGM262202:PGM262507 PQI262202:PQI262507 QAE262202:QAE262507 QKA262202:QKA262507 QTW262202:QTW262507 RDS262202:RDS262507 RNO262202:RNO262507 RXK262202:RXK262507 SHG262202:SHG262507 SRC262202:SRC262507 TAY262202:TAY262507 TKU262202:TKU262507 TUQ262202:TUQ262507 UEM262202:UEM262507 UOI262202:UOI262507 UYE262202:UYE262507 VIA262202:VIA262507 VRW262202:VRW262507 WBS262202:WBS262507 WLO262202:WLO262507 WVK262202:WVK262507 C327738:C328043 IY327738:IY328043 SU327738:SU328043 ACQ327738:ACQ328043 AMM327738:AMM328043 AWI327738:AWI328043 BGE327738:BGE328043 BQA327738:BQA328043 BZW327738:BZW328043 CJS327738:CJS328043 CTO327738:CTO328043 DDK327738:DDK328043 DNG327738:DNG328043 DXC327738:DXC328043 EGY327738:EGY328043 EQU327738:EQU328043 FAQ327738:FAQ328043 FKM327738:FKM328043 FUI327738:FUI328043 GEE327738:GEE328043 GOA327738:GOA328043 GXW327738:GXW328043 HHS327738:HHS328043 HRO327738:HRO328043 IBK327738:IBK328043 ILG327738:ILG328043 IVC327738:IVC328043 JEY327738:JEY328043 JOU327738:JOU328043 JYQ327738:JYQ328043 KIM327738:KIM328043 KSI327738:KSI328043 LCE327738:LCE328043 LMA327738:LMA328043 LVW327738:LVW328043 MFS327738:MFS328043 MPO327738:MPO328043 MZK327738:MZK328043 NJG327738:NJG328043 NTC327738:NTC328043 OCY327738:OCY328043 OMU327738:OMU328043 OWQ327738:OWQ328043 PGM327738:PGM328043 PQI327738:PQI328043 QAE327738:QAE328043 QKA327738:QKA328043 QTW327738:QTW328043 RDS327738:RDS328043 RNO327738:RNO328043 RXK327738:RXK328043 SHG327738:SHG328043 SRC327738:SRC328043 TAY327738:TAY328043 TKU327738:TKU328043 TUQ327738:TUQ328043 UEM327738:UEM328043 UOI327738:UOI328043 UYE327738:UYE328043 VIA327738:VIA328043 VRW327738:VRW328043 WBS327738:WBS328043 WLO327738:WLO328043 WVK327738:WVK328043 C393274:C393579 IY393274:IY393579 SU393274:SU393579 ACQ393274:ACQ393579 AMM393274:AMM393579 AWI393274:AWI393579 BGE393274:BGE393579 BQA393274:BQA393579 BZW393274:BZW393579 CJS393274:CJS393579 CTO393274:CTO393579 DDK393274:DDK393579 DNG393274:DNG393579 DXC393274:DXC393579 EGY393274:EGY393579 EQU393274:EQU393579 FAQ393274:FAQ393579 FKM393274:FKM393579 FUI393274:FUI393579 GEE393274:GEE393579 GOA393274:GOA393579 GXW393274:GXW393579 HHS393274:HHS393579 HRO393274:HRO393579 IBK393274:IBK393579 ILG393274:ILG393579 IVC393274:IVC393579 JEY393274:JEY393579 JOU393274:JOU393579 JYQ393274:JYQ393579 KIM393274:KIM393579 KSI393274:KSI393579 LCE393274:LCE393579 LMA393274:LMA393579 LVW393274:LVW393579 MFS393274:MFS393579 MPO393274:MPO393579 MZK393274:MZK393579 NJG393274:NJG393579 NTC393274:NTC393579 OCY393274:OCY393579 OMU393274:OMU393579 OWQ393274:OWQ393579 PGM393274:PGM393579 PQI393274:PQI393579 QAE393274:QAE393579 QKA393274:QKA393579 QTW393274:QTW393579 RDS393274:RDS393579 RNO393274:RNO393579 RXK393274:RXK393579 SHG393274:SHG393579 SRC393274:SRC393579 TAY393274:TAY393579 TKU393274:TKU393579 TUQ393274:TUQ393579 UEM393274:UEM393579 UOI393274:UOI393579 UYE393274:UYE393579 VIA393274:VIA393579 VRW393274:VRW393579 WBS393274:WBS393579 WLO393274:WLO393579 WVK393274:WVK393579 C458810:C459115 IY458810:IY459115 SU458810:SU459115 ACQ458810:ACQ459115 AMM458810:AMM459115 AWI458810:AWI459115 BGE458810:BGE459115 BQA458810:BQA459115 BZW458810:BZW459115 CJS458810:CJS459115 CTO458810:CTO459115 DDK458810:DDK459115 DNG458810:DNG459115 DXC458810:DXC459115 EGY458810:EGY459115 EQU458810:EQU459115 FAQ458810:FAQ459115 FKM458810:FKM459115 FUI458810:FUI459115 GEE458810:GEE459115 GOA458810:GOA459115 GXW458810:GXW459115 HHS458810:HHS459115 HRO458810:HRO459115 IBK458810:IBK459115 ILG458810:ILG459115 IVC458810:IVC459115 JEY458810:JEY459115 JOU458810:JOU459115 JYQ458810:JYQ459115 KIM458810:KIM459115 KSI458810:KSI459115 LCE458810:LCE459115 LMA458810:LMA459115 LVW458810:LVW459115 MFS458810:MFS459115 MPO458810:MPO459115 MZK458810:MZK459115 NJG458810:NJG459115 NTC458810:NTC459115 OCY458810:OCY459115 OMU458810:OMU459115 OWQ458810:OWQ459115 PGM458810:PGM459115 PQI458810:PQI459115 QAE458810:QAE459115 QKA458810:QKA459115 QTW458810:QTW459115 RDS458810:RDS459115 RNO458810:RNO459115 RXK458810:RXK459115 SHG458810:SHG459115 SRC458810:SRC459115 TAY458810:TAY459115 TKU458810:TKU459115 TUQ458810:TUQ459115 UEM458810:UEM459115 UOI458810:UOI459115 UYE458810:UYE459115 VIA458810:VIA459115 VRW458810:VRW459115 WBS458810:WBS459115 WLO458810:WLO459115 WVK458810:WVK459115 C524346:C524651 IY524346:IY524651 SU524346:SU524651 ACQ524346:ACQ524651 AMM524346:AMM524651 AWI524346:AWI524651 BGE524346:BGE524651 BQA524346:BQA524651 BZW524346:BZW524651 CJS524346:CJS524651 CTO524346:CTO524651 DDK524346:DDK524651 DNG524346:DNG524651 DXC524346:DXC524651 EGY524346:EGY524651 EQU524346:EQU524651 FAQ524346:FAQ524651 FKM524346:FKM524651 FUI524346:FUI524651 GEE524346:GEE524651 GOA524346:GOA524651 GXW524346:GXW524651 HHS524346:HHS524651 HRO524346:HRO524651 IBK524346:IBK524651 ILG524346:ILG524651 IVC524346:IVC524651 JEY524346:JEY524651 JOU524346:JOU524651 JYQ524346:JYQ524651 KIM524346:KIM524651 KSI524346:KSI524651 LCE524346:LCE524651 LMA524346:LMA524651 LVW524346:LVW524651 MFS524346:MFS524651 MPO524346:MPO524651 MZK524346:MZK524651 NJG524346:NJG524651 NTC524346:NTC524651 OCY524346:OCY524651 OMU524346:OMU524651 OWQ524346:OWQ524651 PGM524346:PGM524651 PQI524346:PQI524651 QAE524346:QAE524651 QKA524346:QKA524651 QTW524346:QTW524651 RDS524346:RDS524651 RNO524346:RNO524651 RXK524346:RXK524651 SHG524346:SHG524651 SRC524346:SRC524651 TAY524346:TAY524651 TKU524346:TKU524651 TUQ524346:TUQ524651 UEM524346:UEM524651 UOI524346:UOI524651 UYE524346:UYE524651 VIA524346:VIA524651 VRW524346:VRW524651 WBS524346:WBS524651 WLO524346:WLO524651 WVK524346:WVK524651 C589882:C590187 IY589882:IY590187 SU589882:SU590187 ACQ589882:ACQ590187 AMM589882:AMM590187 AWI589882:AWI590187 BGE589882:BGE590187 BQA589882:BQA590187 BZW589882:BZW590187 CJS589882:CJS590187 CTO589882:CTO590187 DDK589882:DDK590187 DNG589882:DNG590187 DXC589882:DXC590187 EGY589882:EGY590187 EQU589882:EQU590187 FAQ589882:FAQ590187 FKM589882:FKM590187 FUI589882:FUI590187 GEE589882:GEE590187 GOA589882:GOA590187 GXW589882:GXW590187 HHS589882:HHS590187 HRO589882:HRO590187 IBK589882:IBK590187 ILG589882:ILG590187 IVC589882:IVC590187 JEY589882:JEY590187 JOU589882:JOU590187 JYQ589882:JYQ590187 KIM589882:KIM590187 KSI589882:KSI590187 LCE589882:LCE590187 LMA589882:LMA590187 LVW589882:LVW590187 MFS589882:MFS590187 MPO589882:MPO590187 MZK589882:MZK590187 NJG589882:NJG590187 NTC589882:NTC590187 OCY589882:OCY590187 OMU589882:OMU590187 OWQ589882:OWQ590187 PGM589882:PGM590187 PQI589882:PQI590187 QAE589882:QAE590187 QKA589882:QKA590187 QTW589882:QTW590187 RDS589882:RDS590187 RNO589882:RNO590187 RXK589882:RXK590187 SHG589882:SHG590187 SRC589882:SRC590187 TAY589882:TAY590187 TKU589882:TKU590187 TUQ589882:TUQ590187 UEM589882:UEM590187 UOI589882:UOI590187 UYE589882:UYE590187 VIA589882:VIA590187 VRW589882:VRW590187 WBS589882:WBS590187 WLO589882:WLO590187 WVK589882:WVK590187 C655418:C655723 IY655418:IY655723 SU655418:SU655723 ACQ655418:ACQ655723 AMM655418:AMM655723 AWI655418:AWI655723 BGE655418:BGE655723 BQA655418:BQA655723 BZW655418:BZW655723 CJS655418:CJS655723 CTO655418:CTO655723 DDK655418:DDK655723 DNG655418:DNG655723 DXC655418:DXC655723 EGY655418:EGY655723 EQU655418:EQU655723 FAQ655418:FAQ655723 FKM655418:FKM655723 FUI655418:FUI655723 GEE655418:GEE655723 GOA655418:GOA655723 GXW655418:GXW655723 HHS655418:HHS655723 HRO655418:HRO655723 IBK655418:IBK655723 ILG655418:ILG655723 IVC655418:IVC655723 JEY655418:JEY655723 JOU655418:JOU655723 JYQ655418:JYQ655723 KIM655418:KIM655723 KSI655418:KSI655723 LCE655418:LCE655723 LMA655418:LMA655723 LVW655418:LVW655723 MFS655418:MFS655723 MPO655418:MPO655723 MZK655418:MZK655723 NJG655418:NJG655723 NTC655418:NTC655723 OCY655418:OCY655723 OMU655418:OMU655723 OWQ655418:OWQ655723 PGM655418:PGM655723 PQI655418:PQI655723 QAE655418:QAE655723 QKA655418:QKA655723 QTW655418:QTW655723 RDS655418:RDS655723 RNO655418:RNO655723 RXK655418:RXK655723 SHG655418:SHG655723 SRC655418:SRC655723 TAY655418:TAY655723 TKU655418:TKU655723 TUQ655418:TUQ655723 UEM655418:UEM655723 UOI655418:UOI655723 UYE655418:UYE655723 VIA655418:VIA655723 VRW655418:VRW655723 WBS655418:WBS655723 WLO655418:WLO655723 WVK655418:WVK655723 C720954:C721259 IY720954:IY721259 SU720954:SU721259 ACQ720954:ACQ721259 AMM720954:AMM721259 AWI720954:AWI721259 BGE720954:BGE721259 BQA720954:BQA721259 BZW720954:BZW721259 CJS720954:CJS721259 CTO720954:CTO721259 DDK720954:DDK721259 DNG720954:DNG721259 DXC720954:DXC721259 EGY720954:EGY721259 EQU720954:EQU721259 FAQ720954:FAQ721259 FKM720954:FKM721259 FUI720954:FUI721259 GEE720954:GEE721259 GOA720954:GOA721259 GXW720954:GXW721259 HHS720954:HHS721259 HRO720954:HRO721259 IBK720954:IBK721259 ILG720954:ILG721259 IVC720954:IVC721259 JEY720954:JEY721259 JOU720954:JOU721259 JYQ720954:JYQ721259 KIM720954:KIM721259 KSI720954:KSI721259 LCE720954:LCE721259 LMA720954:LMA721259 LVW720954:LVW721259 MFS720954:MFS721259 MPO720954:MPO721259 MZK720954:MZK721259 NJG720954:NJG721259 NTC720954:NTC721259 OCY720954:OCY721259 OMU720954:OMU721259 OWQ720954:OWQ721259 PGM720954:PGM721259 PQI720954:PQI721259 QAE720954:QAE721259 QKA720954:QKA721259 QTW720954:QTW721259 RDS720954:RDS721259 RNO720954:RNO721259 RXK720954:RXK721259 SHG720954:SHG721259 SRC720954:SRC721259 TAY720954:TAY721259 TKU720954:TKU721259 TUQ720954:TUQ721259 UEM720954:UEM721259 UOI720954:UOI721259 UYE720954:UYE721259 VIA720954:VIA721259 VRW720954:VRW721259 WBS720954:WBS721259 WLO720954:WLO721259 WVK720954:WVK721259 C786490:C786795 IY786490:IY786795 SU786490:SU786795 ACQ786490:ACQ786795 AMM786490:AMM786795 AWI786490:AWI786795 BGE786490:BGE786795 BQA786490:BQA786795 BZW786490:BZW786795 CJS786490:CJS786795 CTO786490:CTO786795 DDK786490:DDK786795 DNG786490:DNG786795 DXC786490:DXC786795 EGY786490:EGY786795 EQU786490:EQU786795 FAQ786490:FAQ786795 FKM786490:FKM786795 FUI786490:FUI786795 GEE786490:GEE786795 GOA786490:GOA786795 GXW786490:GXW786795 HHS786490:HHS786795 HRO786490:HRO786795 IBK786490:IBK786795 ILG786490:ILG786795 IVC786490:IVC786795 JEY786490:JEY786795 JOU786490:JOU786795 JYQ786490:JYQ786795 KIM786490:KIM786795 KSI786490:KSI786795 LCE786490:LCE786795 LMA786490:LMA786795 LVW786490:LVW786795 MFS786490:MFS786795 MPO786490:MPO786795 MZK786490:MZK786795 NJG786490:NJG786795 NTC786490:NTC786795 OCY786490:OCY786795 OMU786490:OMU786795 OWQ786490:OWQ786795 PGM786490:PGM786795 PQI786490:PQI786795 QAE786490:QAE786795 QKA786490:QKA786795 QTW786490:QTW786795 RDS786490:RDS786795 RNO786490:RNO786795 RXK786490:RXK786795 SHG786490:SHG786795 SRC786490:SRC786795 TAY786490:TAY786795 TKU786490:TKU786795 TUQ786490:TUQ786795 UEM786490:UEM786795 UOI786490:UOI786795 UYE786490:UYE786795 VIA786490:VIA786795 VRW786490:VRW786795 WBS786490:WBS786795 WLO786490:WLO786795 WVK786490:WVK786795 C852026:C852331 IY852026:IY852331 SU852026:SU852331 ACQ852026:ACQ852331 AMM852026:AMM852331 AWI852026:AWI852331 BGE852026:BGE852331 BQA852026:BQA852331 BZW852026:BZW852331 CJS852026:CJS852331 CTO852026:CTO852331 DDK852026:DDK852331 DNG852026:DNG852331 DXC852026:DXC852331 EGY852026:EGY852331 EQU852026:EQU852331 FAQ852026:FAQ852331 FKM852026:FKM852331 FUI852026:FUI852331 GEE852026:GEE852331 GOA852026:GOA852331 GXW852026:GXW852331 HHS852026:HHS852331 HRO852026:HRO852331 IBK852026:IBK852331 ILG852026:ILG852331 IVC852026:IVC852331 JEY852026:JEY852331 JOU852026:JOU852331 JYQ852026:JYQ852331 KIM852026:KIM852331 KSI852026:KSI852331 LCE852026:LCE852331 LMA852026:LMA852331 LVW852026:LVW852331 MFS852026:MFS852331 MPO852026:MPO852331 MZK852026:MZK852331 NJG852026:NJG852331 NTC852026:NTC852331 OCY852026:OCY852331 OMU852026:OMU852331 OWQ852026:OWQ852331 PGM852026:PGM852331 PQI852026:PQI852331 QAE852026:QAE852331 QKA852026:QKA852331 QTW852026:QTW852331 RDS852026:RDS852331 RNO852026:RNO852331 RXK852026:RXK852331 SHG852026:SHG852331 SRC852026:SRC852331 TAY852026:TAY852331 TKU852026:TKU852331 TUQ852026:TUQ852331 UEM852026:UEM852331 UOI852026:UOI852331 UYE852026:UYE852331 VIA852026:VIA852331 VRW852026:VRW852331 WBS852026:WBS852331 WLO852026:WLO852331 WVK852026:WVK852331 C917562:C917867 IY917562:IY917867 SU917562:SU917867 ACQ917562:ACQ917867 AMM917562:AMM917867 AWI917562:AWI917867 BGE917562:BGE917867 BQA917562:BQA917867 BZW917562:BZW917867 CJS917562:CJS917867 CTO917562:CTO917867 DDK917562:DDK917867 DNG917562:DNG917867 DXC917562:DXC917867 EGY917562:EGY917867 EQU917562:EQU917867 FAQ917562:FAQ917867 FKM917562:FKM917867 FUI917562:FUI917867 GEE917562:GEE917867 GOA917562:GOA917867 GXW917562:GXW917867 HHS917562:HHS917867 HRO917562:HRO917867 IBK917562:IBK917867 ILG917562:ILG917867 IVC917562:IVC917867 JEY917562:JEY917867 JOU917562:JOU917867 JYQ917562:JYQ917867 KIM917562:KIM917867 KSI917562:KSI917867 LCE917562:LCE917867 LMA917562:LMA917867 LVW917562:LVW917867 MFS917562:MFS917867 MPO917562:MPO917867 MZK917562:MZK917867 NJG917562:NJG917867 NTC917562:NTC917867 OCY917562:OCY917867 OMU917562:OMU917867 OWQ917562:OWQ917867 PGM917562:PGM917867 PQI917562:PQI917867 QAE917562:QAE917867 QKA917562:QKA917867 QTW917562:QTW917867 RDS917562:RDS917867 RNO917562:RNO917867 RXK917562:RXK917867 SHG917562:SHG917867 SRC917562:SRC917867 TAY917562:TAY917867 TKU917562:TKU917867 TUQ917562:TUQ917867 UEM917562:UEM917867 UOI917562:UOI917867 UYE917562:UYE917867 VIA917562:VIA917867 VRW917562:VRW917867 WBS917562:WBS917867 WLO917562:WLO917867 WVK917562:WVK917867 C983098:C983403 IY983098:IY983403 SU983098:SU983403 ACQ983098:ACQ983403 AMM983098:AMM983403 AWI983098:AWI983403 BGE983098:BGE983403 BQA983098:BQA983403 BZW983098:BZW983403 CJS983098:CJS983403 CTO983098:CTO983403 DDK983098:DDK983403 DNG983098:DNG983403 DXC983098:DXC983403 EGY983098:EGY983403 EQU983098:EQU983403 FAQ983098:FAQ983403 FKM983098:FKM983403 FUI983098:FUI983403 GEE983098:GEE983403 GOA983098:GOA983403 GXW983098:GXW983403 HHS983098:HHS983403 HRO983098:HRO983403 IBK983098:IBK983403 ILG983098:ILG983403 IVC983098:IVC983403 JEY983098:JEY983403 JOU983098:JOU983403 JYQ983098:JYQ983403 KIM983098:KIM983403 KSI983098:KSI983403 LCE983098:LCE983403 LMA983098:LMA983403 LVW983098:LVW983403 MFS983098:MFS983403 MPO983098:MPO983403 MZK983098:MZK983403 NJG983098:NJG983403 NTC983098:NTC983403 OCY983098:OCY983403 OMU983098:OMU983403 OWQ983098:OWQ983403 PGM983098:PGM983403 PQI983098:PQI983403 QAE983098:QAE983403 QKA983098:QKA983403 QTW983098:QTW983403 RDS983098:RDS983403 RNO983098:RNO983403 RXK983098:RXK983403 SHG983098:SHG983403 SRC983098:SRC983403 TAY983098:TAY983403 TKU983098:TKU983403 TUQ983098:TUQ983403 UEM983098:UEM983403 UOI983098:UOI983403 UYE983098:UYE983403 VIA983098:VIA983403 VRW983098:VRW983403 WBS983098:WBS983403 WLO983098:WLO983403 WVK983098:WVK983403 C3:C64 C66:C363 WVK66:WVK363 WLO66:WLO363 WBS66:WBS363 VRW66:VRW363 VIA66:VIA363 UYE66:UYE363 UOI66:UOI363 UEM66:UEM363 TUQ66:TUQ363 TKU66:TKU363 TAY66:TAY363 SRC66:SRC363 SHG66:SHG363 RXK66:RXK363 RNO66:RNO363 RDS66:RDS363 QTW66:QTW363 QKA66:QKA363 QAE66:QAE363 PQI66:PQI363 PGM66:PGM363 OWQ66:OWQ363 OMU66:OMU363 OCY66:OCY363 NTC66:NTC363 NJG66:NJG363 MZK66:MZK363 MPO66:MPO363 MFS66:MFS363 LVW66:LVW363 LMA66:LMA363 LCE66:LCE363 KSI66:KSI363 KIM66:KIM363 JYQ66:JYQ363 JOU66:JOU363 JEY66:JEY363 IVC66:IVC363 ILG66:ILG363 IBK66:IBK363 HRO66:HRO363 HHS66:HHS363 GXW66:GXW363 GOA66:GOA363 GEE66:GEE363 FUI66:FUI363 FKM66:FKM363 FAQ66:FAQ363 EQU66:EQU363 EGY66:EGY363 DXC66:DXC363 DNG66:DNG363 DDK66:DDK363 CTO66:CTO363 CJS66:CJS363 BZW66:BZW363 BQA66:BQA363 BGE66:BGE363 AWI66:AWI363 AMM66:AMM363 ACQ66:ACQ363 SU66:SU363 IY66:IY363" xr:uid="{C5F36EEB-F9AB-5544-BA58-6BCC3BCA6386}">
      <formula1>PROCESOS</formula1>
    </dataValidation>
    <dataValidation type="list" allowBlank="1" showInputMessage="1" showErrorMessage="1" sqref="B68:B69 IX68:IX69 ST68:ST69 ACP68:ACP69 AML68:AML69 AWH68:AWH69 BGD68:BGD69 BPZ68:BPZ69 BZV68:BZV69 CJR68:CJR69 CTN68:CTN69 DDJ68:DDJ69 DNF68:DNF69 DXB68:DXB69 EGX68:EGX69 EQT68:EQT69 FAP68:FAP69 FKL68:FKL69 FUH68:FUH69 GED68:GED69 GNZ68:GNZ69 GXV68:GXV69 HHR68:HHR69 HRN68:HRN69 IBJ68:IBJ69 ILF68:ILF69 IVB68:IVB69 JEX68:JEX69 JOT68:JOT69 JYP68:JYP69 KIL68:KIL69 KSH68:KSH69 LCD68:LCD69 LLZ68:LLZ69 LVV68:LVV69 MFR68:MFR69 MPN68:MPN69 MZJ68:MZJ69 NJF68:NJF69 NTB68:NTB69 OCX68:OCX69 OMT68:OMT69 OWP68:OWP69 PGL68:PGL69 PQH68:PQH69 QAD68:QAD69 QJZ68:QJZ69 QTV68:QTV69 RDR68:RDR69 RNN68:RNN69 RXJ68:RXJ69 SHF68:SHF69 SRB68:SRB69 TAX68:TAX69 TKT68:TKT69 TUP68:TUP69 UEL68:UEL69 UOH68:UOH69 UYD68:UYD69 VHZ68:VHZ69 VRV68:VRV69 WBR68:WBR69 WLN68:WLN69 WVJ68:WVJ69 B65596:B65597 IX65596:IX65597 ST65596:ST65597 ACP65596:ACP65597 AML65596:AML65597 AWH65596:AWH65597 BGD65596:BGD65597 BPZ65596:BPZ65597 BZV65596:BZV65597 CJR65596:CJR65597 CTN65596:CTN65597 DDJ65596:DDJ65597 DNF65596:DNF65597 DXB65596:DXB65597 EGX65596:EGX65597 EQT65596:EQT65597 FAP65596:FAP65597 FKL65596:FKL65597 FUH65596:FUH65597 GED65596:GED65597 GNZ65596:GNZ65597 GXV65596:GXV65597 HHR65596:HHR65597 HRN65596:HRN65597 IBJ65596:IBJ65597 ILF65596:ILF65597 IVB65596:IVB65597 JEX65596:JEX65597 JOT65596:JOT65597 JYP65596:JYP65597 KIL65596:KIL65597 KSH65596:KSH65597 LCD65596:LCD65597 LLZ65596:LLZ65597 LVV65596:LVV65597 MFR65596:MFR65597 MPN65596:MPN65597 MZJ65596:MZJ65597 NJF65596:NJF65597 NTB65596:NTB65597 OCX65596:OCX65597 OMT65596:OMT65597 OWP65596:OWP65597 PGL65596:PGL65597 PQH65596:PQH65597 QAD65596:QAD65597 QJZ65596:QJZ65597 QTV65596:QTV65597 RDR65596:RDR65597 RNN65596:RNN65597 RXJ65596:RXJ65597 SHF65596:SHF65597 SRB65596:SRB65597 TAX65596:TAX65597 TKT65596:TKT65597 TUP65596:TUP65597 UEL65596:UEL65597 UOH65596:UOH65597 UYD65596:UYD65597 VHZ65596:VHZ65597 VRV65596:VRV65597 WBR65596:WBR65597 WLN65596:WLN65597 WVJ65596:WVJ65597 B131132:B131133 IX131132:IX131133 ST131132:ST131133 ACP131132:ACP131133 AML131132:AML131133 AWH131132:AWH131133 BGD131132:BGD131133 BPZ131132:BPZ131133 BZV131132:BZV131133 CJR131132:CJR131133 CTN131132:CTN131133 DDJ131132:DDJ131133 DNF131132:DNF131133 DXB131132:DXB131133 EGX131132:EGX131133 EQT131132:EQT131133 FAP131132:FAP131133 FKL131132:FKL131133 FUH131132:FUH131133 GED131132:GED131133 GNZ131132:GNZ131133 GXV131132:GXV131133 HHR131132:HHR131133 HRN131132:HRN131133 IBJ131132:IBJ131133 ILF131132:ILF131133 IVB131132:IVB131133 JEX131132:JEX131133 JOT131132:JOT131133 JYP131132:JYP131133 KIL131132:KIL131133 KSH131132:KSH131133 LCD131132:LCD131133 LLZ131132:LLZ131133 LVV131132:LVV131133 MFR131132:MFR131133 MPN131132:MPN131133 MZJ131132:MZJ131133 NJF131132:NJF131133 NTB131132:NTB131133 OCX131132:OCX131133 OMT131132:OMT131133 OWP131132:OWP131133 PGL131132:PGL131133 PQH131132:PQH131133 QAD131132:QAD131133 QJZ131132:QJZ131133 QTV131132:QTV131133 RDR131132:RDR131133 RNN131132:RNN131133 RXJ131132:RXJ131133 SHF131132:SHF131133 SRB131132:SRB131133 TAX131132:TAX131133 TKT131132:TKT131133 TUP131132:TUP131133 UEL131132:UEL131133 UOH131132:UOH131133 UYD131132:UYD131133 VHZ131132:VHZ131133 VRV131132:VRV131133 WBR131132:WBR131133 WLN131132:WLN131133 WVJ131132:WVJ131133 B196668:B196669 IX196668:IX196669 ST196668:ST196669 ACP196668:ACP196669 AML196668:AML196669 AWH196668:AWH196669 BGD196668:BGD196669 BPZ196668:BPZ196669 BZV196668:BZV196669 CJR196668:CJR196669 CTN196668:CTN196669 DDJ196668:DDJ196669 DNF196668:DNF196669 DXB196668:DXB196669 EGX196668:EGX196669 EQT196668:EQT196669 FAP196668:FAP196669 FKL196668:FKL196669 FUH196668:FUH196669 GED196668:GED196669 GNZ196668:GNZ196669 GXV196668:GXV196669 HHR196668:HHR196669 HRN196668:HRN196669 IBJ196668:IBJ196669 ILF196668:ILF196669 IVB196668:IVB196669 JEX196668:JEX196669 JOT196668:JOT196669 JYP196668:JYP196669 KIL196668:KIL196669 KSH196668:KSH196669 LCD196668:LCD196669 LLZ196668:LLZ196669 LVV196668:LVV196669 MFR196668:MFR196669 MPN196668:MPN196669 MZJ196668:MZJ196669 NJF196668:NJF196669 NTB196668:NTB196669 OCX196668:OCX196669 OMT196668:OMT196669 OWP196668:OWP196669 PGL196668:PGL196669 PQH196668:PQH196669 QAD196668:QAD196669 QJZ196668:QJZ196669 QTV196668:QTV196669 RDR196668:RDR196669 RNN196668:RNN196669 RXJ196668:RXJ196669 SHF196668:SHF196669 SRB196668:SRB196669 TAX196668:TAX196669 TKT196668:TKT196669 TUP196668:TUP196669 UEL196668:UEL196669 UOH196668:UOH196669 UYD196668:UYD196669 VHZ196668:VHZ196669 VRV196668:VRV196669 WBR196668:WBR196669 WLN196668:WLN196669 WVJ196668:WVJ196669 B262204:B262205 IX262204:IX262205 ST262204:ST262205 ACP262204:ACP262205 AML262204:AML262205 AWH262204:AWH262205 BGD262204:BGD262205 BPZ262204:BPZ262205 BZV262204:BZV262205 CJR262204:CJR262205 CTN262204:CTN262205 DDJ262204:DDJ262205 DNF262204:DNF262205 DXB262204:DXB262205 EGX262204:EGX262205 EQT262204:EQT262205 FAP262204:FAP262205 FKL262204:FKL262205 FUH262204:FUH262205 GED262204:GED262205 GNZ262204:GNZ262205 GXV262204:GXV262205 HHR262204:HHR262205 HRN262204:HRN262205 IBJ262204:IBJ262205 ILF262204:ILF262205 IVB262204:IVB262205 JEX262204:JEX262205 JOT262204:JOT262205 JYP262204:JYP262205 KIL262204:KIL262205 KSH262204:KSH262205 LCD262204:LCD262205 LLZ262204:LLZ262205 LVV262204:LVV262205 MFR262204:MFR262205 MPN262204:MPN262205 MZJ262204:MZJ262205 NJF262204:NJF262205 NTB262204:NTB262205 OCX262204:OCX262205 OMT262204:OMT262205 OWP262204:OWP262205 PGL262204:PGL262205 PQH262204:PQH262205 QAD262204:QAD262205 QJZ262204:QJZ262205 QTV262204:QTV262205 RDR262204:RDR262205 RNN262204:RNN262205 RXJ262204:RXJ262205 SHF262204:SHF262205 SRB262204:SRB262205 TAX262204:TAX262205 TKT262204:TKT262205 TUP262204:TUP262205 UEL262204:UEL262205 UOH262204:UOH262205 UYD262204:UYD262205 VHZ262204:VHZ262205 VRV262204:VRV262205 WBR262204:WBR262205 WLN262204:WLN262205 WVJ262204:WVJ262205 B327740:B327741 IX327740:IX327741 ST327740:ST327741 ACP327740:ACP327741 AML327740:AML327741 AWH327740:AWH327741 BGD327740:BGD327741 BPZ327740:BPZ327741 BZV327740:BZV327741 CJR327740:CJR327741 CTN327740:CTN327741 DDJ327740:DDJ327741 DNF327740:DNF327741 DXB327740:DXB327741 EGX327740:EGX327741 EQT327740:EQT327741 FAP327740:FAP327741 FKL327740:FKL327741 FUH327740:FUH327741 GED327740:GED327741 GNZ327740:GNZ327741 GXV327740:GXV327741 HHR327740:HHR327741 HRN327740:HRN327741 IBJ327740:IBJ327741 ILF327740:ILF327741 IVB327740:IVB327741 JEX327740:JEX327741 JOT327740:JOT327741 JYP327740:JYP327741 KIL327740:KIL327741 KSH327740:KSH327741 LCD327740:LCD327741 LLZ327740:LLZ327741 LVV327740:LVV327741 MFR327740:MFR327741 MPN327740:MPN327741 MZJ327740:MZJ327741 NJF327740:NJF327741 NTB327740:NTB327741 OCX327740:OCX327741 OMT327740:OMT327741 OWP327740:OWP327741 PGL327740:PGL327741 PQH327740:PQH327741 QAD327740:QAD327741 QJZ327740:QJZ327741 QTV327740:QTV327741 RDR327740:RDR327741 RNN327740:RNN327741 RXJ327740:RXJ327741 SHF327740:SHF327741 SRB327740:SRB327741 TAX327740:TAX327741 TKT327740:TKT327741 TUP327740:TUP327741 UEL327740:UEL327741 UOH327740:UOH327741 UYD327740:UYD327741 VHZ327740:VHZ327741 VRV327740:VRV327741 WBR327740:WBR327741 WLN327740:WLN327741 WVJ327740:WVJ327741 B393276:B393277 IX393276:IX393277 ST393276:ST393277 ACP393276:ACP393277 AML393276:AML393277 AWH393276:AWH393277 BGD393276:BGD393277 BPZ393276:BPZ393277 BZV393276:BZV393277 CJR393276:CJR393277 CTN393276:CTN393277 DDJ393276:DDJ393277 DNF393276:DNF393277 DXB393276:DXB393277 EGX393276:EGX393277 EQT393276:EQT393277 FAP393276:FAP393277 FKL393276:FKL393277 FUH393276:FUH393277 GED393276:GED393277 GNZ393276:GNZ393277 GXV393276:GXV393277 HHR393276:HHR393277 HRN393276:HRN393277 IBJ393276:IBJ393277 ILF393276:ILF393277 IVB393276:IVB393277 JEX393276:JEX393277 JOT393276:JOT393277 JYP393276:JYP393277 KIL393276:KIL393277 KSH393276:KSH393277 LCD393276:LCD393277 LLZ393276:LLZ393277 LVV393276:LVV393277 MFR393276:MFR393277 MPN393276:MPN393277 MZJ393276:MZJ393277 NJF393276:NJF393277 NTB393276:NTB393277 OCX393276:OCX393277 OMT393276:OMT393277 OWP393276:OWP393277 PGL393276:PGL393277 PQH393276:PQH393277 QAD393276:QAD393277 QJZ393276:QJZ393277 QTV393276:QTV393277 RDR393276:RDR393277 RNN393276:RNN393277 RXJ393276:RXJ393277 SHF393276:SHF393277 SRB393276:SRB393277 TAX393276:TAX393277 TKT393276:TKT393277 TUP393276:TUP393277 UEL393276:UEL393277 UOH393276:UOH393277 UYD393276:UYD393277 VHZ393276:VHZ393277 VRV393276:VRV393277 WBR393276:WBR393277 WLN393276:WLN393277 WVJ393276:WVJ393277 B458812:B458813 IX458812:IX458813 ST458812:ST458813 ACP458812:ACP458813 AML458812:AML458813 AWH458812:AWH458813 BGD458812:BGD458813 BPZ458812:BPZ458813 BZV458812:BZV458813 CJR458812:CJR458813 CTN458812:CTN458813 DDJ458812:DDJ458813 DNF458812:DNF458813 DXB458812:DXB458813 EGX458812:EGX458813 EQT458812:EQT458813 FAP458812:FAP458813 FKL458812:FKL458813 FUH458812:FUH458813 GED458812:GED458813 GNZ458812:GNZ458813 GXV458812:GXV458813 HHR458812:HHR458813 HRN458812:HRN458813 IBJ458812:IBJ458813 ILF458812:ILF458813 IVB458812:IVB458813 JEX458812:JEX458813 JOT458812:JOT458813 JYP458812:JYP458813 KIL458812:KIL458813 KSH458812:KSH458813 LCD458812:LCD458813 LLZ458812:LLZ458813 LVV458812:LVV458813 MFR458812:MFR458813 MPN458812:MPN458813 MZJ458812:MZJ458813 NJF458812:NJF458813 NTB458812:NTB458813 OCX458812:OCX458813 OMT458812:OMT458813 OWP458812:OWP458813 PGL458812:PGL458813 PQH458812:PQH458813 QAD458812:QAD458813 QJZ458812:QJZ458813 QTV458812:QTV458813 RDR458812:RDR458813 RNN458812:RNN458813 RXJ458812:RXJ458813 SHF458812:SHF458813 SRB458812:SRB458813 TAX458812:TAX458813 TKT458812:TKT458813 TUP458812:TUP458813 UEL458812:UEL458813 UOH458812:UOH458813 UYD458812:UYD458813 VHZ458812:VHZ458813 VRV458812:VRV458813 WBR458812:WBR458813 WLN458812:WLN458813 WVJ458812:WVJ458813 B524348:B524349 IX524348:IX524349 ST524348:ST524349 ACP524348:ACP524349 AML524348:AML524349 AWH524348:AWH524349 BGD524348:BGD524349 BPZ524348:BPZ524349 BZV524348:BZV524349 CJR524348:CJR524349 CTN524348:CTN524349 DDJ524348:DDJ524349 DNF524348:DNF524349 DXB524348:DXB524349 EGX524348:EGX524349 EQT524348:EQT524349 FAP524348:FAP524349 FKL524348:FKL524349 FUH524348:FUH524349 GED524348:GED524349 GNZ524348:GNZ524349 GXV524348:GXV524349 HHR524348:HHR524349 HRN524348:HRN524349 IBJ524348:IBJ524349 ILF524348:ILF524349 IVB524348:IVB524349 JEX524348:JEX524349 JOT524348:JOT524349 JYP524348:JYP524349 KIL524348:KIL524349 KSH524348:KSH524349 LCD524348:LCD524349 LLZ524348:LLZ524349 LVV524348:LVV524349 MFR524348:MFR524349 MPN524348:MPN524349 MZJ524348:MZJ524349 NJF524348:NJF524349 NTB524348:NTB524349 OCX524348:OCX524349 OMT524348:OMT524349 OWP524348:OWP524349 PGL524348:PGL524349 PQH524348:PQH524349 QAD524348:QAD524349 QJZ524348:QJZ524349 QTV524348:QTV524349 RDR524348:RDR524349 RNN524348:RNN524349 RXJ524348:RXJ524349 SHF524348:SHF524349 SRB524348:SRB524349 TAX524348:TAX524349 TKT524348:TKT524349 TUP524348:TUP524349 UEL524348:UEL524349 UOH524348:UOH524349 UYD524348:UYD524349 VHZ524348:VHZ524349 VRV524348:VRV524349 WBR524348:WBR524349 WLN524348:WLN524349 WVJ524348:WVJ524349 B589884:B589885 IX589884:IX589885 ST589884:ST589885 ACP589884:ACP589885 AML589884:AML589885 AWH589884:AWH589885 BGD589884:BGD589885 BPZ589884:BPZ589885 BZV589884:BZV589885 CJR589884:CJR589885 CTN589884:CTN589885 DDJ589884:DDJ589885 DNF589884:DNF589885 DXB589884:DXB589885 EGX589884:EGX589885 EQT589884:EQT589885 FAP589884:FAP589885 FKL589884:FKL589885 FUH589884:FUH589885 GED589884:GED589885 GNZ589884:GNZ589885 GXV589884:GXV589885 HHR589884:HHR589885 HRN589884:HRN589885 IBJ589884:IBJ589885 ILF589884:ILF589885 IVB589884:IVB589885 JEX589884:JEX589885 JOT589884:JOT589885 JYP589884:JYP589885 KIL589884:KIL589885 KSH589884:KSH589885 LCD589884:LCD589885 LLZ589884:LLZ589885 LVV589884:LVV589885 MFR589884:MFR589885 MPN589884:MPN589885 MZJ589884:MZJ589885 NJF589884:NJF589885 NTB589884:NTB589885 OCX589884:OCX589885 OMT589884:OMT589885 OWP589884:OWP589885 PGL589884:PGL589885 PQH589884:PQH589885 QAD589884:QAD589885 QJZ589884:QJZ589885 QTV589884:QTV589885 RDR589884:RDR589885 RNN589884:RNN589885 RXJ589884:RXJ589885 SHF589884:SHF589885 SRB589884:SRB589885 TAX589884:TAX589885 TKT589884:TKT589885 TUP589884:TUP589885 UEL589884:UEL589885 UOH589884:UOH589885 UYD589884:UYD589885 VHZ589884:VHZ589885 VRV589884:VRV589885 WBR589884:WBR589885 WLN589884:WLN589885 WVJ589884:WVJ589885 B655420:B655421 IX655420:IX655421 ST655420:ST655421 ACP655420:ACP655421 AML655420:AML655421 AWH655420:AWH655421 BGD655420:BGD655421 BPZ655420:BPZ655421 BZV655420:BZV655421 CJR655420:CJR655421 CTN655420:CTN655421 DDJ655420:DDJ655421 DNF655420:DNF655421 DXB655420:DXB655421 EGX655420:EGX655421 EQT655420:EQT655421 FAP655420:FAP655421 FKL655420:FKL655421 FUH655420:FUH655421 GED655420:GED655421 GNZ655420:GNZ655421 GXV655420:GXV655421 HHR655420:HHR655421 HRN655420:HRN655421 IBJ655420:IBJ655421 ILF655420:ILF655421 IVB655420:IVB655421 JEX655420:JEX655421 JOT655420:JOT655421 JYP655420:JYP655421 KIL655420:KIL655421 KSH655420:KSH655421 LCD655420:LCD655421 LLZ655420:LLZ655421 LVV655420:LVV655421 MFR655420:MFR655421 MPN655420:MPN655421 MZJ655420:MZJ655421 NJF655420:NJF655421 NTB655420:NTB655421 OCX655420:OCX655421 OMT655420:OMT655421 OWP655420:OWP655421 PGL655420:PGL655421 PQH655420:PQH655421 QAD655420:QAD655421 QJZ655420:QJZ655421 QTV655420:QTV655421 RDR655420:RDR655421 RNN655420:RNN655421 RXJ655420:RXJ655421 SHF655420:SHF655421 SRB655420:SRB655421 TAX655420:TAX655421 TKT655420:TKT655421 TUP655420:TUP655421 UEL655420:UEL655421 UOH655420:UOH655421 UYD655420:UYD655421 VHZ655420:VHZ655421 VRV655420:VRV655421 WBR655420:WBR655421 WLN655420:WLN655421 WVJ655420:WVJ655421 B720956:B720957 IX720956:IX720957 ST720956:ST720957 ACP720956:ACP720957 AML720956:AML720957 AWH720956:AWH720957 BGD720956:BGD720957 BPZ720956:BPZ720957 BZV720956:BZV720957 CJR720956:CJR720957 CTN720956:CTN720957 DDJ720956:DDJ720957 DNF720956:DNF720957 DXB720956:DXB720957 EGX720956:EGX720957 EQT720956:EQT720957 FAP720956:FAP720957 FKL720956:FKL720957 FUH720956:FUH720957 GED720956:GED720957 GNZ720956:GNZ720957 GXV720956:GXV720957 HHR720956:HHR720957 HRN720956:HRN720957 IBJ720956:IBJ720957 ILF720956:ILF720957 IVB720956:IVB720957 JEX720956:JEX720957 JOT720956:JOT720957 JYP720956:JYP720957 KIL720956:KIL720957 KSH720956:KSH720957 LCD720956:LCD720957 LLZ720956:LLZ720957 LVV720956:LVV720957 MFR720956:MFR720957 MPN720956:MPN720957 MZJ720956:MZJ720957 NJF720956:NJF720957 NTB720956:NTB720957 OCX720956:OCX720957 OMT720956:OMT720957 OWP720956:OWP720957 PGL720956:PGL720957 PQH720956:PQH720957 QAD720956:QAD720957 QJZ720956:QJZ720957 QTV720956:QTV720957 RDR720956:RDR720957 RNN720956:RNN720957 RXJ720956:RXJ720957 SHF720956:SHF720957 SRB720956:SRB720957 TAX720956:TAX720957 TKT720956:TKT720957 TUP720956:TUP720957 UEL720956:UEL720957 UOH720956:UOH720957 UYD720956:UYD720957 VHZ720956:VHZ720957 VRV720956:VRV720957 WBR720956:WBR720957 WLN720956:WLN720957 WVJ720956:WVJ720957 B786492:B786493 IX786492:IX786493 ST786492:ST786493 ACP786492:ACP786493 AML786492:AML786493 AWH786492:AWH786493 BGD786492:BGD786493 BPZ786492:BPZ786493 BZV786492:BZV786493 CJR786492:CJR786493 CTN786492:CTN786493 DDJ786492:DDJ786493 DNF786492:DNF786493 DXB786492:DXB786493 EGX786492:EGX786493 EQT786492:EQT786493 FAP786492:FAP786493 FKL786492:FKL786493 FUH786492:FUH786493 GED786492:GED786493 GNZ786492:GNZ786493 GXV786492:GXV786493 HHR786492:HHR786493 HRN786492:HRN786493 IBJ786492:IBJ786493 ILF786492:ILF786493 IVB786492:IVB786493 JEX786492:JEX786493 JOT786492:JOT786493 JYP786492:JYP786493 KIL786492:KIL786493 KSH786492:KSH786493 LCD786492:LCD786493 LLZ786492:LLZ786493 LVV786492:LVV786493 MFR786492:MFR786493 MPN786492:MPN786493 MZJ786492:MZJ786493 NJF786492:NJF786493 NTB786492:NTB786493 OCX786492:OCX786493 OMT786492:OMT786493 OWP786492:OWP786493 PGL786492:PGL786493 PQH786492:PQH786493 QAD786492:QAD786493 QJZ786492:QJZ786493 QTV786492:QTV786493 RDR786492:RDR786493 RNN786492:RNN786493 RXJ786492:RXJ786493 SHF786492:SHF786493 SRB786492:SRB786493 TAX786492:TAX786493 TKT786492:TKT786493 TUP786492:TUP786493 UEL786492:UEL786493 UOH786492:UOH786493 UYD786492:UYD786493 VHZ786492:VHZ786493 VRV786492:VRV786493 WBR786492:WBR786493 WLN786492:WLN786493 WVJ786492:WVJ786493 B852028:B852029 IX852028:IX852029 ST852028:ST852029 ACP852028:ACP852029 AML852028:AML852029 AWH852028:AWH852029 BGD852028:BGD852029 BPZ852028:BPZ852029 BZV852028:BZV852029 CJR852028:CJR852029 CTN852028:CTN852029 DDJ852028:DDJ852029 DNF852028:DNF852029 DXB852028:DXB852029 EGX852028:EGX852029 EQT852028:EQT852029 FAP852028:FAP852029 FKL852028:FKL852029 FUH852028:FUH852029 GED852028:GED852029 GNZ852028:GNZ852029 GXV852028:GXV852029 HHR852028:HHR852029 HRN852028:HRN852029 IBJ852028:IBJ852029 ILF852028:ILF852029 IVB852028:IVB852029 JEX852028:JEX852029 JOT852028:JOT852029 JYP852028:JYP852029 KIL852028:KIL852029 KSH852028:KSH852029 LCD852028:LCD852029 LLZ852028:LLZ852029 LVV852028:LVV852029 MFR852028:MFR852029 MPN852028:MPN852029 MZJ852028:MZJ852029 NJF852028:NJF852029 NTB852028:NTB852029 OCX852028:OCX852029 OMT852028:OMT852029 OWP852028:OWP852029 PGL852028:PGL852029 PQH852028:PQH852029 QAD852028:QAD852029 QJZ852028:QJZ852029 QTV852028:QTV852029 RDR852028:RDR852029 RNN852028:RNN852029 RXJ852028:RXJ852029 SHF852028:SHF852029 SRB852028:SRB852029 TAX852028:TAX852029 TKT852028:TKT852029 TUP852028:TUP852029 UEL852028:UEL852029 UOH852028:UOH852029 UYD852028:UYD852029 VHZ852028:VHZ852029 VRV852028:VRV852029 WBR852028:WBR852029 WLN852028:WLN852029 WVJ852028:WVJ852029 B917564:B917565 IX917564:IX917565 ST917564:ST917565 ACP917564:ACP917565 AML917564:AML917565 AWH917564:AWH917565 BGD917564:BGD917565 BPZ917564:BPZ917565 BZV917564:BZV917565 CJR917564:CJR917565 CTN917564:CTN917565 DDJ917564:DDJ917565 DNF917564:DNF917565 DXB917564:DXB917565 EGX917564:EGX917565 EQT917564:EQT917565 FAP917564:FAP917565 FKL917564:FKL917565 FUH917564:FUH917565 GED917564:GED917565 GNZ917564:GNZ917565 GXV917564:GXV917565 HHR917564:HHR917565 HRN917564:HRN917565 IBJ917564:IBJ917565 ILF917564:ILF917565 IVB917564:IVB917565 JEX917564:JEX917565 JOT917564:JOT917565 JYP917564:JYP917565 KIL917564:KIL917565 KSH917564:KSH917565 LCD917564:LCD917565 LLZ917564:LLZ917565 LVV917564:LVV917565 MFR917564:MFR917565 MPN917564:MPN917565 MZJ917564:MZJ917565 NJF917564:NJF917565 NTB917564:NTB917565 OCX917564:OCX917565 OMT917564:OMT917565 OWP917564:OWP917565 PGL917564:PGL917565 PQH917564:PQH917565 QAD917564:QAD917565 QJZ917564:QJZ917565 QTV917564:QTV917565 RDR917564:RDR917565 RNN917564:RNN917565 RXJ917564:RXJ917565 SHF917564:SHF917565 SRB917564:SRB917565 TAX917564:TAX917565 TKT917564:TKT917565 TUP917564:TUP917565 UEL917564:UEL917565 UOH917564:UOH917565 UYD917564:UYD917565 VHZ917564:VHZ917565 VRV917564:VRV917565 WBR917564:WBR917565 WLN917564:WLN917565 WVJ917564:WVJ917565 B983100:B983101 IX983100:IX983101 ST983100:ST983101 ACP983100:ACP983101 AML983100:AML983101 AWH983100:AWH983101 BGD983100:BGD983101 BPZ983100:BPZ983101 BZV983100:BZV983101 CJR983100:CJR983101 CTN983100:CTN983101 DDJ983100:DDJ983101 DNF983100:DNF983101 DXB983100:DXB983101 EGX983100:EGX983101 EQT983100:EQT983101 FAP983100:FAP983101 FKL983100:FKL983101 FUH983100:FUH983101 GED983100:GED983101 GNZ983100:GNZ983101 GXV983100:GXV983101 HHR983100:HHR983101 HRN983100:HRN983101 IBJ983100:IBJ983101 ILF983100:ILF983101 IVB983100:IVB983101 JEX983100:JEX983101 JOT983100:JOT983101 JYP983100:JYP983101 KIL983100:KIL983101 KSH983100:KSH983101 LCD983100:LCD983101 LLZ983100:LLZ983101 LVV983100:LVV983101 MFR983100:MFR983101 MPN983100:MPN983101 MZJ983100:MZJ983101 NJF983100:NJF983101 NTB983100:NTB983101 OCX983100:OCX983101 OMT983100:OMT983101 OWP983100:OWP983101 PGL983100:PGL983101 PQH983100:PQH983101 QAD983100:QAD983101 QJZ983100:QJZ983101 QTV983100:QTV983101 RDR983100:RDR983101 RNN983100:RNN983101 RXJ983100:RXJ983101 SHF983100:SHF983101 SRB983100:SRB983101 TAX983100:TAX983101 TKT983100:TKT983101 TUP983100:TUP983101 UEL983100:UEL983101 UOH983100:UOH983101 UYD983100:UYD983101 VHZ983100:VHZ983101 VRV983100:VRV983101 WBR983100:WBR983101 WLN983100:WLN983101 WVJ983100:WVJ983101 B3:B64 IX3:IX64 ST3:ST64 ACP3:ACP64 AML3:AML64 AWH3:AWH64 BGD3:BGD64 BPZ3:BPZ64 BZV3:BZV64 CJR3:CJR64 CTN3:CTN64 DDJ3:DDJ64 DNF3:DNF64 DXB3:DXB64 EGX3:EGX64 EQT3:EQT64 FAP3:FAP64 FKL3:FKL64 FUH3:FUH64 GED3:GED64 GNZ3:GNZ64 GXV3:GXV64 HHR3:HHR64 HRN3:HRN64 IBJ3:IBJ64 ILF3:ILF64 IVB3:IVB64 JEX3:JEX64 JOT3:JOT64 JYP3:JYP64 KIL3:KIL64 KSH3:KSH64 LCD3:LCD64 LLZ3:LLZ64 LVV3:LVV64 MFR3:MFR64 MPN3:MPN64 MZJ3:MZJ64 NJF3:NJF64 NTB3:NTB64 OCX3:OCX64 OMT3:OMT64 OWP3:OWP64 PGL3:PGL64 PQH3:PQH64 QAD3:QAD64 QJZ3:QJZ64 QTV3:QTV64 RDR3:RDR64 RNN3:RNN64 RXJ3:RXJ64 SHF3:SHF64 SRB3:SRB64 TAX3:TAX64 TKT3:TKT64 TUP3:TUP64 UEL3:UEL64 UOH3:UOH64 UYD3:UYD64 VHZ3:VHZ64 VRV3:VRV64 WBR3:WBR64 WLN3:WLN64 WVJ3:WVJ64 B65538:B65592 IX65538:IX65592 ST65538:ST65592 ACP65538:ACP65592 AML65538:AML65592 AWH65538:AWH65592 BGD65538:BGD65592 BPZ65538:BPZ65592 BZV65538:BZV65592 CJR65538:CJR65592 CTN65538:CTN65592 DDJ65538:DDJ65592 DNF65538:DNF65592 DXB65538:DXB65592 EGX65538:EGX65592 EQT65538:EQT65592 FAP65538:FAP65592 FKL65538:FKL65592 FUH65538:FUH65592 GED65538:GED65592 GNZ65538:GNZ65592 GXV65538:GXV65592 HHR65538:HHR65592 HRN65538:HRN65592 IBJ65538:IBJ65592 ILF65538:ILF65592 IVB65538:IVB65592 JEX65538:JEX65592 JOT65538:JOT65592 JYP65538:JYP65592 KIL65538:KIL65592 KSH65538:KSH65592 LCD65538:LCD65592 LLZ65538:LLZ65592 LVV65538:LVV65592 MFR65538:MFR65592 MPN65538:MPN65592 MZJ65538:MZJ65592 NJF65538:NJF65592 NTB65538:NTB65592 OCX65538:OCX65592 OMT65538:OMT65592 OWP65538:OWP65592 PGL65538:PGL65592 PQH65538:PQH65592 QAD65538:QAD65592 QJZ65538:QJZ65592 QTV65538:QTV65592 RDR65538:RDR65592 RNN65538:RNN65592 RXJ65538:RXJ65592 SHF65538:SHF65592 SRB65538:SRB65592 TAX65538:TAX65592 TKT65538:TKT65592 TUP65538:TUP65592 UEL65538:UEL65592 UOH65538:UOH65592 UYD65538:UYD65592 VHZ65538:VHZ65592 VRV65538:VRV65592 WBR65538:WBR65592 WLN65538:WLN65592 WVJ65538:WVJ65592 B131074:B131128 IX131074:IX131128 ST131074:ST131128 ACP131074:ACP131128 AML131074:AML131128 AWH131074:AWH131128 BGD131074:BGD131128 BPZ131074:BPZ131128 BZV131074:BZV131128 CJR131074:CJR131128 CTN131074:CTN131128 DDJ131074:DDJ131128 DNF131074:DNF131128 DXB131074:DXB131128 EGX131074:EGX131128 EQT131074:EQT131128 FAP131074:FAP131128 FKL131074:FKL131128 FUH131074:FUH131128 GED131074:GED131128 GNZ131074:GNZ131128 GXV131074:GXV131128 HHR131074:HHR131128 HRN131074:HRN131128 IBJ131074:IBJ131128 ILF131074:ILF131128 IVB131074:IVB131128 JEX131074:JEX131128 JOT131074:JOT131128 JYP131074:JYP131128 KIL131074:KIL131128 KSH131074:KSH131128 LCD131074:LCD131128 LLZ131074:LLZ131128 LVV131074:LVV131128 MFR131074:MFR131128 MPN131074:MPN131128 MZJ131074:MZJ131128 NJF131074:NJF131128 NTB131074:NTB131128 OCX131074:OCX131128 OMT131074:OMT131128 OWP131074:OWP131128 PGL131074:PGL131128 PQH131074:PQH131128 QAD131074:QAD131128 QJZ131074:QJZ131128 QTV131074:QTV131128 RDR131074:RDR131128 RNN131074:RNN131128 RXJ131074:RXJ131128 SHF131074:SHF131128 SRB131074:SRB131128 TAX131074:TAX131128 TKT131074:TKT131128 TUP131074:TUP131128 UEL131074:UEL131128 UOH131074:UOH131128 UYD131074:UYD131128 VHZ131074:VHZ131128 VRV131074:VRV131128 WBR131074:WBR131128 WLN131074:WLN131128 WVJ131074:WVJ131128 B196610:B196664 IX196610:IX196664 ST196610:ST196664 ACP196610:ACP196664 AML196610:AML196664 AWH196610:AWH196664 BGD196610:BGD196664 BPZ196610:BPZ196664 BZV196610:BZV196664 CJR196610:CJR196664 CTN196610:CTN196664 DDJ196610:DDJ196664 DNF196610:DNF196664 DXB196610:DXB196664 EGX196610:EGX196664 EQT196610:EQT196664 FAP196610:FAP196664 FKL196610:FKL196664 FUH196610:FUH196664 GED196610:GED196664 GNZ196610:GNZ196664 GXV196610:GXV196664 HHR196610:HHR196664 HRN196610:HRN196664 IBJ196610:IBJ196664 ILF196610:ILF196664 IVB196610:IVB196664 JEX196610:JEX196664 JOT196610:JOT196664 JYP196610:JYP196664 KIL196610:KIL196664 KSH196610:KSH196664 LCD196610:LCD196664 LLZ196610:LLZ196664 LVV196610:LVV196664 MFR196610:MFR196664 MPN196610:MPN196664 MZJ196610:MZJ196664 NJF196610:NJF196664 NTB196610:NTB196664 OCX196610:OCX196664 OMT196610:OMT196664 OWP196610:OWP196664 PGL196610:PGL196664 PQH196610:PQH196664 QAD196610:QAD196664 QJZ196610:QJZ196664 QTV196610:QTV196664 RDR196610:RDR196664 RNN196610:RNN196664 RXJ196610:RXJ196664 SHF196610:SHF196664 SRB196610:SRB196664 TAX196610:TAX196664 TKT196610:TKT196664 TUP196610:TUP196664 UEL196610:UEL196664 UOH196610:UOH196664 UYD196610:UYD196664 VHZ196610:VHZ196664 VRV196610:VRV196664 WBR196610:WBR196664 WLN196610:WLN196664 WVJ196610:WVJ196664 B262146:B262200 IX262146:IX262200 ST262146:ST262200 ACP262146:ACP262200 AML262146:AML262200 AWH262146:AWH262200 BGD262146:BGD262200 BPZ262146:BPZ262200 BZV262146:BZV262200 CJR262146:CJR262200 CTN262146:CTN262200 DDJ262146:DDJ262200 DNF262146:DNF262200 DXB262146:DXB262200 EGX262146:EGX262200 EQT262146:EQT262200 FAP262146:FAP262200 FKL262146:FKL262200 FUH262146:FUH262200 GED262146:GED262200 GNZ262146:GNZ262200 GXV262146:GXV262200 HHR262146:HHR262200 HRN262146:HRN262200 IBJ262146:IBJ262200 ILF262146:ILF262200 IVB262146:IVB262200 JEX262146:JEX262200 JOT262146:JOT262200 JYP262146:JYP262200 KIL262146:KIL262200 KSH262146:KSH262200 LCD262146:LCD262200 LLZ262146:LLZ262200 LVV262146:LVV262200 MFR262146:MFR262200 MPN262146:MPN262200 MZJ262146:MZJ262200 NJF262146:NJF262200 NTB262146:NTB262200 OCX262146:OCX262200 OMT262146:OMT262200 OWP262146:OWP262200 PGL262146:PGL262200 PQH262146:PQH262200 QAD262146:QAD262200 QJZ262146:QJZ262200 QTV262146:QTV262200 RDR262146:RDR262200 RNN262146:RNN262200 RXJ262146:RXJ262200 SHF262146:SHF262200 SRB262146:SRB262200 TAX262146:TAX262200 TKT262146:TKT262200 TUP262146:TUP262200 UEL262146:UEL262200 UOH262146:UOH262200 UYD262146:UYD262200 VHZ262146:VHZ262200 VRV262146:VRV262200 WBR262146:WBR262200 WLN262146:WLN262200 WVJ262146:WVJ262200 B327682:B327736 IX327682:IX327736 ST327682:ST327736 ACP327682:ACP327736 AML327682:AML327736 AWH327682:AWH327736 BGD327682:BGD327736 BPZ327682:BPZ327736 BZV327682:BZV327736 CJR327682:CJR327736 CTN327682:CTN327736 DDJ327682:DDJ327736 DNF327682:DNF327736 DXB327682:DXB327736 EGX327682:EGX327736 EQT327682:EQT327736 FAP327682:FAP327736 FKL327682:FKL327736 FUH327682:FUH327736 GED327682:GED327736 GNZ327682:GNZ327736 GXV327682:GXV327736 HHR327682:HHR327736 HRN327682:HRN327736 IBJ327682:IBJ327736 ILF327682:ILF327736 IVB327682:IVB327736 JEX327682:JEX327736 JOT327682:JOT327736 JYP327682:JYP327736 KIL327682:KIL327736 KSH327682:KSH327736 LCD327682:LCD327736 LLZ327682:LLZ327736 LVV327682:LVV327736 MFR327682:MFR327736 MPN327682:MPN327736 MZJ327682:MZJ327736 NJF327682:NJF327736 NTB327682:NTB327736 OCX327682:OCX327736 OMT327682:OMT327736 OWP327682:OWP327736 PGL327682:PGL327736 PQH327682:PQH327736 QAD327682:QAD327736 QJZ327682:QJZ327736 QTV327682:QTV327736 RDR327682:RDR327736 RNN327682:RNN327736 RXJ327682:RXJ327736 SHF327682:SHF327736 SRB327682:SRB327736 TAX327682:TAX327736 TKT327682:TKT327736 TUP327682:TUP327736 UEL327682:UEL327736 UOH327682:UOH327736 UYD327682:UYD327736 VHZ327682:VHZ327736 VRV327682:VRV327736 WBR327682:WBR327736 WLN327682:WLN327736 WVJ327682:WVJ327736 B393218:B393272 IX393218:IX393272 ST393218:ST393272 ACP393218:ACP393272 AML393218:AML393272 AWH393218:AWH393272 BGD393218:BGD393272 BPZ393218:BPZ393272 BZV393218:BZV393272 CJR393218:CJR393272 CTN393218:CTN393272 DDJ393218:DDJ393272 DNF393218:DNF393272 DXB393218:DXB393272 EGX393218:EGX393272 EQT393218:EQT393272 FAP393218:FAP393272 FKL393218:FKL393272 FUH393218:FUH393272 GED393218:GED393272 GNZ393218:GNZ393272 GXV393218:GXV393272 HHR393218:HHR393272 HRN393218:HRN393272 IBJ393218:IBJ393272 ILF393218:ILF393272 IVB393218:IVB393272 JEX393218:JEX393272 JOT393218:JOT393272 JYP393218:JYP393272 KIL393218:KIL393272 KSH393218:KSH393272 LCD393218:LCD393272 LLZ393218:LLZ393272 LVV393218:LVV393272 MFR393218:MFR393272 MPN393218:MPN393272 MZJ393218:MZJ393272 NJF393218:NJF393272 NTB393218:NTB393272 OCX393218:OCX393272 OMT393218:OMT393272 OWP393218:OWP393272 PGL393218:PGL393272 PQH393218:PQH393272 QAD393218:QAD393272 QJZ393218:QJZ393272 QTV393218:QTV393272 RDR393218:RDR393272 RNN393218:RNN393272 RXJ393218:RXJ393272 SHF393218:SHF393272 SRB393218:SRB393272 TAX393218:TAX393272 TKT393218:TKT393272 TUP393218:TUP393272 UEL393218:UEL393272 UOH393218:UOH393272 UYD393218:UYD393272 VHZ393218:VHZ393272 VRV393218:VRV393272 WBR393218:WBR393272 WLN393218:WLN393272 WVJ393218:WVJ393272 B458754:B458808 IX458754:IX458808 ST458754:ST458808 ACP458754:ACP458808 AML458754:AML458808 AWH458754:AWH458808 BGD458754:BGD458808 BPZ458754:BPZ458808 BZV458754:BZV458808 CJR458754:CJR458808 CTN458754:CTN458808 DDJ458754:DDJ458808 DNF458754:DNF458808 DXB458754:DXB458808 EGX458754:EGX458808 EQT458754:EQT458808 FAP458754:FAP458808 FKL458754:FKL458808 FUH458754:FUH458808 GED458754:GED458808 GNZ458754:GNZ458808 GXV458754:GXV458808 HHR458754:HHR458808 HRN458754:HRN458808 IBJ458754:IBJ458808 ILF458754:ILF458808 IVB458754:IVB458808 JEX458754:JEX458808 JOT458754:JOT458808 JYP458754:JYP458808 KIL458754:KIL458808 KSH458754:KSH458808 LCD458754:LCD458808 LLZ458754:LLZ458808 LVV458754:LVV458808 MFR458754:MFR458808 MPN458754:MPN458808 MZJ458754:MZJ458808 NJF458754:NJF458808 NTB458754:NTB458808 OCX458754:OCX458808 OMT458754:OMT458808 OWP458754:OWP458808 PGL458754:PGL458808 PQH458754:PQH458808 QAD458754:QAD458808 QJZ458754:QJZ458808 QTV458754:QTV458808 RDR458754:RDR458808 RNN458754:RNN458808 RXJ458754:RXJ458808 SHF458754:SHF458808 SRB458754:SRB458808 TAX458754:TAX458808 TKT458754:TKT458808 TUP458754:TUP458808 UEL458754:UEL458808 UOH458754:UOH458808 UYD458754:UYD458808 VHZ458754:VHZ458808 VRV458754:VRV458808 WBR458754:WBR458808 WLN458754:WLN458808 WVJ458754:WVJ458808 B524290:B524344 IX524290:IX524344 ST524290:ST524344 ACP524290:ACP524344 AML524290:AML524344 AWH524290:AWH524344 BGD524290:BGD524344 BPZ524290:BPZ524344 BZV524290:BZV524344 CJR524290:CJR524344 CTN524290:CTN524344 DDJ524290:DDJ524344 DNF524290:DNF524344 DXB524290:DXB524344 EGX524290:EGX524344 EQT524290:EQT524344 FAP524290:FAP524344 FKL524290:FKL524344 FUH524290:FUH524344 GED524290:GED524344 GNZ524290:GNZ524344 GXV524290:GXV524344 HHR524290:HHR524344 HRN524290:HRN524344 IBJ524290:IBJ524344 ILF524290:ILF524344 IVB524290:IVB524344 JEX524290:JEX524344 JOT524290:JOT524344 JYP524290:JYP524344 KIL524290:KIL524344 KSH524290:KSH524344 LCD524290:LCD524344 LLZ524290:LLZ524344 LVV524290:LVV524344 MFR524290:MFR524344 MPN524290:MPN524344 MZJ524290:MZJ524344 NJF524290:NJF524344 NTB524290:NTB524344 OCX524290:OCX524344 OMT524290:OMT524344 OWP524290:OWP524344 PGL524290:PGL524344 PQH524290:PQH524344 QAD524290:QAD524344 QJZ524290:QJZ524344 QTV524290:QTV524344 RDR524290:RDR524344 RNN524290:RNN524344 RXJ524290:RXJ524344 SHF524290:SHF524344 SRB524290:SRB524344 TAX524290:TAX524344 TKT524290:TKT524344 TUP524290:TUP524344 UEL524290:UEL524344 UOH524290:UOH524344 UYD524290:UYD524344 VHZ524290:VHZ524344 VRV524290:VRV524344 WBR524290:WBR524344 WLN524290:WLN524344 WVJ524290:WVJ524344 B589826:B589880 IX589826:IX589880 ST589826:ST589880 ACP589826:ACP589880 AML589826:AML589880 AWH589826:AWH589880 BGD589826:BGD589880 BPZ589826:BPZ589880 BZV589826:BZV589880 CJR589826:CJR589880 CTN589826:CTN589880 DDJ589826:DDJ589880 DNF589826:DNF589880 DXB589826:DXB589880 EGX589826:EGX589880 EQT589826:EQT589880 FAP589826:FAP589880 FKL589826:FKL589880 FUH589826:FUH589880 GED589826:GED589880 GNZ589826:GNZ589880 GXV589826:GXV589880 HHR589826:HHR589880 HRN589826:HRN589880 IBJ589826:IBJ589880 ILF589826:ILF589880 IVB589826:IVB589880 JEX589826:JEX589880 JOT589826:JOT589880 JYP589826:JYP589880 KIL589826:KIL589880 KSH589826:KSH589880 LCD589826:LCD589880 LLZ589826:LLZ589880 LVV589826:LVV589880 MFR589826:MFR589880 MPN589826:MPN589880 MZJ589826:MZJ589880 NJF589826:NJF589880 NTB589826:NTB589880 OCX589826:OCX589880 OMT589826:OMT589880 OWP589826:OWP589880 PGL589826:PGL589880 PQH589826:PQH589880 QAD589826:QAD589880 QJZ589826:QJZ589880 QTV589826:QTV589880 RDR589826:RDR589880 RNN589826:RNN589880 RXJ589826:RXJ589880 SHF589826:SHF589880 SRB589826:SRB589880 TAX589826:TAX589880 TKT589826:TKT589880 TUP589826:TUP589880 UEL589826:UEL589880 UOH589826:UOH589880 UYD589826:UYD589880 VHZ589826:VHZ589880 VRV589826:VRV589880 WBR589826:WBR589880 WLN589826:WLN589880 WVJ589826:WVJ589880 B655362:B655416 IX655362:IX655416 ST655362:ST655416 ACP655362:ACP655416 AML655362:AML655416 AWH655362:AWH655416 BGD655362:BGD655416 BPZ655362:BPZ655416 BZV655362:BZV655416 CJR655362:CJR655416 CTN655362:CTN655416 DDJ655362:DDJ655416 DNF655362:DNF655416 DXB655362:DXB655416 EGX655362:EGX655416 EQT655362:EQT655416 FAP655362:FAP655416 FKL655362:FKL655416 FUH655362:FUH655416 GED655362:GED655416 GNZ655362:GNZ655416 GXV655362:GXV655416 HHR655362:HHR655416 HRN655362:HRN655416 IBJ655362:IBJ655416 ILF655362:ILF655416 IVB655362:IVB655416 JEX655362:JEX655416 JOT655362:JOT655416 JYP655362:JYP655416 KIL655362:KIL655416 KSH655362:KSH655416 LCD655362:LCD655416 LLZ655362:LLZ655416 LVV655362:LVV655416 MFR655362:MFR655416 MPN655362:MPN655416 MZJ655362:MZJ655416 NJF655362:NJF655416 NTB655362:NTB655416 OCX655362:OCX655416 OMT655362:OMT655416 OWP655362:OWP655416 PGL655362:PGL655416 PQH655362:PQH655416 QAD655362:QAD655416 QJZ655362:QJZ655416 QTV655362:QTV655416 RDR655362:RDR655416 RNN655362:RNN655416 RXJ655362:RXJ655416 SHF655362:SHF655416 SRB655362:SRB655416 TAX655362:TAX655416 TKT655362:TKT655416 TUP655362:TUP655416 UEL655362:UEL655416 UOH655362:UOH655416 UYD655362:UYD655416 VHZ655362:VHZ655416 VRV655362:VRV655416 WBR655362:WBR655416 WLN655362:WLN655416 WVJ655362:WVJ655416 B720898:B720952 IX720898:IX720952 ST720898:ST720952 ACP720898:ACP720952 AML720898:AML720952 AWH720898:AWH720952 BGD720898:BGD720952 BPZ720898:BPZ720952 BZV720898:BZV720952 CJR720898:CJR720952 CTN720898:CTN720952 DDJ720898:DDJ720952 DNF720898:DNF720952 DXB720898:DXB720952 EGX720898:EGX720952 EQT720898:EQT720952 FAP720898:FAP720952 FKL720898:FKL720952 FUH720898:FUH720952 GED720898:GED720952 GNZ720898:GNZ720952 GXV720898:GXV720952 HHR720898:HHR720952 HRN720898:HRN720952 IBJ720898:IBJ720952 ILF720898:ILF720952 IVB720898:IVB720952 JEX720898:JEX720952 JOT720898:JOT720952 JYP720898:JYP720952 KIL720898:KIL720952 KSH720898:KSH720952 LCD720898:LCD720952 LLZ720898:LLZ720952 LVV720898:LVV720952 MFR720898:MFR720952 MPN720898:MPN720952 MZJ720898:MZJ720952 NJF720898:NJF720952 NTB720898:NTB720952 OCX720898:OCX720952 OMT720898:OMT720952 OWP720898:OWP720952 PGL720898:PGL720952 PQH720898:PQH720952 QAD720898:QAD720952 QJZ720898:QJZ720952 QTV720898:QTV720952 RDR720898:RDR720952 RNN720898:RNN720952 RXJ720898:RXJ720952 SHF720898:SHF720952 SRB720898:SRB720952 TAX720898:TAX720952 TKT720898:TKT720952 TUP720898:TUP720952 UEL720898:UEL720952 UOH720898:UOH720952 UYD720898:UYD720952 VHZ720898:VHZ720952 VRV720898:VRV720952 WBR720898:WBR720952 WLN720898:WLN720952 WVJ720898:WVJ720952 B786434:B786488 IX786434:IX786488 ST786434:ST786488 ACP786434:ACP786488 AML786434:AML786488 AWH786434:AWH786488 BGD786434:BGD786488 BPZ786434:BPZ786488 BZV786434:BZV786488 CJR786434:CJR786488 CTN786434:CTN786488 DDJ786434:DDJ786488 DNF786434:DNF786488 DXB786434:DXB786488 EGX786434:EGX786488 EQT786434:EQT786488 FAP786434:FAP786488 FKL786434:FKL786488 FUH786434:FUH786488 GED786434:GED786488 GNZ786434:GNZ786488 GXV786434:GXV786488 HHR786434:HHR786488 HRN786434:HRN786488 IBJ786434:IBJ786488 ILF786434:ILF786488 IVB786434:IVB786488 JEX786434:JEX786488 JOT786434:JOT786488 JYP786434:JYP786488 KIL786434:KIL786488 KSH786434:KSH786488 LCD786434:LCD786488 LLZ786434:LLZ786488 LVV786434:LVV786488 MFR786434:MFR786488 MPN786434:MPN786488 MZJ786434:MZJ786488 NJF786434:NJF786488 NTB786434:NTB786488 OCX786434:OCX786488 OMT786434:OMT786488 OWP786434:OWP786488 PGL786434:PGL786488 PQH786434:PQH786488 QAD786434:QAD786488 QJZ786434:QJZ786488 QTV786434:QTV786488 RDR786434:RDR786488 RNN786434:RNN786488 RXJ786434:RXJ786488 SHF786434:SHF786488 SRB786434:SRB786488 TAX786434:TAX786488 TKT786434:TKT786488 TUP786434:TUP786488 UEL786434:UEL786488 UOH786434:UOH786488 UYD786434:UYD786488 VHZ786434:VHZ786488 VRV786434:VRV786488 WBR786434:WBR786488 WLN786434:WLN786488 WVJ786434:WVJ786488 B851970:B852024 IX851970:IX852024 ST851970:ST852024 ACP851970:ACP852024 AML851970:AML852024 AWH851970:AWH852024 BGD851970:BGD852024 BPZ851970:BPZ852024 BZV851970:BZV852024 CJR851970:CJR852024 CTN851970:CTN852024 DDJ851970:DDJ852024 DNF851970:DNF852024 DXB851970:DXB852024 EGX851970:EGX852024 EQT851970:EQT852024 FAP851970:FAP852024 FKL851970:FKL852024 FUH851970:FUH852024 GED851970:GED852024 GNZ851970:GNZ852024 GXV851970:GXV852024 HHR851970:HHR852024 HRN851970:HRN852024 IBJ851970:IBJ852024 ILF851970:ILF852024 IVB851970:IVB852024 JEX851970:JEX852024 JOT851970:JOT852024 JYP851970:JYP852024 KIL851970:KIL852024 KSH851970:KSH852024 LCD851970:LCD852024 LLZ851970:LLZ852024 LVV851970:LVV852024 MFR851970:MFR852024 MPN851970:MPN852024 MZJ851970:MZJ852024 NJF851970:NJF852024 NTB851970:NTB852024 OCX851970:OCX852024 OMT851970:OMT852024 OWP851970:OWP852024 PGL851970:PGL852024 PQH851970:PQH852024 QAD851970:QAD852024 QJZ851970:QJZ852024 QTV851970:QTV852024 RDR851970:RDR852024 RNN851970:RNN852024 RXJ851970:RXJ852024 SHF851970:SHF852024 SRB851970:SRB852024 TAX851970:TAX852024 TKT851970:TKT852024 TUP851970:TUP852024 UEL851970:UEL852024 UOH851970:UOH852024 UYD851970:UYD852024 VHZ851970:VHZ852024 VRV851970:VRV852024 WBR851970:WBR852024 WLN851970:WLN852024 WVJ851970:WVJ852024 B917506:B917560 IX917506:IX917560 ST917506:ST917560 ACP917506:ACP917560 AML917506:AML917560 AWH917506:AWH917560 BGD917506:BGD917560 BPZ917506:BPZ917560 BZV917506:BZV917560 CJR917506:CJR917560 CTN917506:CTN917560 DDJ917506:DDJ917560 DNF917506:DNF917560 DXB917506:DXB917560 EGX917506:EGX917560 EQT917506:EQT917560 FAP917506:FAP917560 FKL917506:FKL917560 FUH917506:FUH917560 GED917506:GED917560 GNZ917506:GNZ917560 GXV917506:GXV917560 HHR917506:HHR917560 HRN917506:HRN917560 IBJ917506:IBJ917560 ILF917506:ILF917560 IVB917506:IVB917560 JEX917506:JEX917560 JOT917506:JOT917560 JYP917506:JYP917560 KIL917506:KIL917560 KSH917506:KSH917560 LCD917506:LCD917560 LLZ917506:LLZ917560 LVV917506:LVV917560 MFR917506:MFR917560 MPN917506:MPN917560 MZJ917506:MZJ917560 NJF917506:NJF917560 NTB917506:NTB917560 OCX917506:OCX917560 OMT917506:OMT917560 OWP917506:OWP917560 PGL917506:PGL917560 PQH917506:PQH917560 QAD917506:QAD917560 QJZ917506:QJZ917560 QTV917506:QTV917560 RDR917506:RDR917560 RNN917506:RNN917560 RXJ917506:RXJ917560 SHF917506:SHF917560 SRB917506:SRB917560 TAX917506:TAX917560 TKT917506:TKT917560 TUP917506:TUP917560 UEL917506:UEL917560 UOH917506:UOH917560 UYD917506:UYD917560 VHZ917506:VHZ917560 VRV917506:VRV917560 WBR917506:WBR917560 WLN917506:WLN917560 WVJ917506:WVJ917560 B983042:B983096 IX983042:IX983096 ST983042:ST983096 ACP983042:ACP983096 AML983042:AML983096 AWH983042:AWH983096 BGD983042:BGD983096 BPZ983042:BPZ983096 BZV983042:BZV983096 CJR983042:CJR983096 CTN983042:CTN983096 DDJ983042:DDJ983096 DNF983042:DNF983096 DXB983042:DXB983096 EGX983042:EGX983096 EQT983042:EQT983096 FAP983042:FAP983096 FKL983042:FKL983096 FUH983042:FUH983096 GED983042:GED983096 GNZ983042:GNZ983096 GXV983042:GXV983096 HHR983042:HHR983096 HRN983042:HRN983096 IBJ983042:IBJ983096 ILF983042:ILF983096 IVB983042:IVB983096 JEX983042:JEX983096 JOT983042:JOT983096 JYP983042:JYP983096 KIL983042:KIL983096 KSH983042:KSH983096 LCD983042:LCD983096 LLZ983042:LLZ983096 LVV983042:LVV983096 MFR983042:MFR983096 MPN983042:MPN983096 MZJ983042:MZJ983096 NJF983042:NJF983096 NTB983042:NTB983096 OCX983042:OCX983096 OMT983042:OMT983096 OWP983042:OWP983096 PGL983042:PGL983096 PQH983042:PQH983096 QAD983042:QAD983096 QJZ983042:QJZ983096 QTV983042:QTV983096 RDR983042:RDR983096 RNN983042:RNN983096 RXJ983042:RXJ983096 SHF983042:SHF983096 SRB983042:SRB983096 TAX983042:TAX983096 TKT983042:TKT983096 TUP983042:TUP983096 UEL983042:UEL983096 UOH983042:UOH983096 UYD983042:UYD983096 VHZ983042:VHZ983096 VRV983042:VRV983096 WBR983042:WBR983096 WLN983042:WLN983096 WVJ983042:WVJ983096" xr:uid="{65CCF9F2-F0EE-5044-90D2-A5A1843E69F5}">
      <formula1>SUBDIRECCIÓN</formula1>
    </dataValidation>
    <dataValidation type="list" allowBlank="1" showInputMessage="1" showErrorMessage="1" sqref="F12: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F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F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F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F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F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F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F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F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F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F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F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F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F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F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F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xr:uid="{0361FA73-3210-EE40-8387-A609914D7B6A}">
      <formula1>MESES</formula1>
    </dataValidation>
    <dataValidation type="list" allowBlank="1" showInputMessage="1" showErrorMessage="1" sqref="K12:K33 JH12:JH33 TD12:TD33 ACZ12:ACZ33 AMV12:AMV33 AWR12:AWR33 BGN12:BGN33 BQJ12:BQJ33 CAF12:CAF33 CKB12:CKB33 CTX12:CTX33 DDT12:DDT33 DNP12:DNP33 DXL12:DXL33 EHH12:EHH33 ERD12:ERD33 FAZ12:FAZ33 FKV12:FKV33 FUR12:FUR33 GEN12:GEN33 GOJ12:GOJ33 GYF12:GYF33 HIB12:HIB33 HRX12:HRX33 IBT12:IBT33 ILP12:ILP33 IVL12:IVL33 JFH12:JFH33 JPD12:JPD33 JYZ12:JYZ33 KIV12:KIV33 KSR12:KSR33 LCN12:LCN33 LMJ12:LMJ33 LWF12:LWF33 MGB12:MGB33 MPX12:MPX33 MZT12:MZT33 NJP12:NJP33 NTL12:NTL33 ODH12:ODH33 OND12:OND33 OWZ12:OWZ33 PGV12:PGV33 PQR12:PQR33 QAN12:QAN33 QKJ12:QKJ33 QUF12:QUF33 REB12:REB33 RNX12:RNX33 RXT12:RXT33 SHP12:SHP33 SRL12:SRL33 TBH12:TBH33 TLD12:TLD33 TUZ12:TUZ33 UEV12:UEV33 UOR12:UOR33 UYN12:UYN33 VIJ12:VIJ33 VSF12:VSF33 WCB12:WCB33 WLX12:WLX33 WVT12:WVT33 K65540:K65561 JH65540:JH65561 TD65540:TD65561 ACZ65540:ACZ65561 AMV65540:AMV65561 AWR65540:AWR65561 BGN65540:BGN65561 BQJ65540:BQJ65561 CAF65540:CAF65561 CKB65540:CKB65561 CTX65540:CTX65561 DDT65540:DDT65561 DNP65540:DNP65561 DXL65540:DXL65561 EHH65540:EHH65561 ERD65540:ERD65561 FAZ65540:FAZ65561 FKV65540:FKV65561 FUR65540:FUR65561 GEN65540:GEN65561 GOJ65540:GOJ65561 GYF65540:GYF65561 HIB65540:HIB65561 HRX65540:HRX65561 IBT65540:IBT65561 ILP65540:ILP65561 IVL65540:IVL65561 JFH65540:JFH65561 JPD65540:JPD65561 JYZ65540:JYZ65561 KIV65540:KIV65561 KSR65540:KSR65561 LCN65540:LCN65561 LMJ65540:LMJ65561 LWF65540:LWF65561 MGB65540:MGB65561 MPX65540:MPX65561 MZT65540:MZT65561 NJP65540:NJP65561 NTL65540:NTL65561 ODH65540:ODH65561 OND65540:OND65561 OWZ65540:OWZ65561 PGV65540:PGV65561 PQR65540:PQR65561 QAN65540:QAN65561 QKJ65540:QKJ65561 QUF65540:QUF65561 REB65540:REB65561 RNX65540:RNX65561 RXT65540:RXT65561 SHP65540:SHP65561 SRL65540:SRL65561 TBH65540:TBH65561 TLD65540:TLD65561 TUZ65540:TUZ65561 UEV65540:UEV65561 UOR65540:UOR65561 UYN65540:UYN65561 VIJ65540:VIJ65561 VSF65540:VSF65561 WCB65540:WCB65561 WLX65540:WLX65561 WVT65540:WVT65561 K131076:K131097 JH131076:JH131097 TD131076:TD131097 ACZ131076:ACZ131097 AMV131076:AMV131097 AWR131076:AWR131097 BGN131076:BGN131097 BQJ131076:BQJ131097 CAF131076:CAF131097 CKB131076:CKB131097 CTX131076:CTX131097 DDT131076:DDT131097 DNP131076:DNP131097 DXL131076:DXL131097 EHH131076:EHH131097 ERD131076:ERD131097 FAZ131076:FAZ131097 FKV131076:FKV131097 FUR131076:FUR131097 GEN131076:GEN131097 GOJ131076:GOJ131097 GYF131076:GYF131097 HIB131076:HIB131097 HRX131076:HRX131097 IBT131076:IBT131097 ILP131076:ILP131097 IVL131076:IVL131097 JFH131076:JFH131097 JPD131076:JPD131097 JYZ131076:JYZ131097 KIV131076:KIV131097 KSR131076:KSR131097 LCN131076:LCN131097 LMJ131076:LMJ131097 LWF131076:LWF131097 MGB131076:MGB131097 MPX131076:MPX131097 MZT131076:MZT131097 NJP131076:NJP131097 NTL131076:NTL131097 ODH131076:ODH131097 OND131076:OND131097 OWZ131076:OWZ131097 PGV131076:PGV131097 PQR131076:PQR131097 QAN131076:QAN131097 QKJ131076:QKJ131097 QUF131076:QUF131097 REB131076:REB131097 RNX131076:RNX131097 RXT131076:RXT131097 SHP131076:SHP131097 SRL131076:SRL131097 TBH131076:TBH131097 TLD131076:TLD131097 TUZ131076:TUZ131097 UEV131076:UEV131097 UOR131076:UOR131097 UYN131076:UYN131097 VIJ131076:VIJ131097 VSF131076:VSF131097 WCB131076:WCB131097 WLX131076:WLX131097 WVT131076:WVT131097 K196612:K196633 JH196612:JH196633 TD196612:TD196633 ACZ196612:ACZ196633 AMV196612:AMV196633 AWR196612:AWR196633 BGN196612:BGN196633 BQJ196612:BQJ196633 CAF196612:CAF196633 CKB196612:CKB196633 CTX196612:CTX196633 DDT196612:DDT196633 DNP196612:DNP196633 DXL196612:DXL196633 EHH196612:EHH196633 ERD196612:ERD196633 FAZ196612:FAZ196633 FKV196612:FKV196633 FUR196612:FUR196633 GEN196612:GEN196633 GOJ196612:GOJ196633 GYF196612:GYF196633 HIB196612:HIB196633 HRX196612:HRX196633 IBT196612:IBT196633 ILP196612:ILP196633 IVL196612:IVL196633 JFH196612:JFH196633 JPD196612:JPD196633 JYZ196612:JYZ196633 KIV196612:KIV196633 KSR196612:KSR196633 LCN196612:LCN196633 LMJ196612:LMJ196633 LWF196612:LWF196633 MGB196612:MGB196633 MPX196612:MPX196633 MZT196612:MZT196633 NJP196612:NJP196633 NTL196612:NTL196633 ODH196612:ODH196633 OND196612:OND196633 OWZ196612:OWZ196633 PGV196612:PGV196633 PQR196612:PQR196633 QAN196612:QAN196633 QKJ196612:QKJ196633 QUF196612:QUF196633 REB196612:REB196633 RNX196612:RNX196633 RXT196612:RXT196633 SHP196612:SHP196633 SRL196612:SRL196633 TBH196612:TBH196633 TLD196612:TLD196633 TUZ196612:TUZ196633 UEV196612:UEV196633 UOR196612:UOR196633 UYN196612:UYN196633 VIJ196612:VIJ196633 VSF196612:VSF196633 WCB196612:WCB196633 WLX196612:WLX196633 WVT196612:WVT196633 K262148:K262169 JH262148:JH262169 TD262148:TD262169 ACZ262148:ACZ262169 AMV262148:AMV262169 AWR262148:AWR262169 BGN262148:BGN262169 BQJ262148:BQJ262169 CAF262148:CAF262169 CKB262148:CKB262169 CTX262148:CTX262169 DDT262148:DDT262169 DNP262148:DNP262169 DXL262148:DXL262169 EHH262148:EHH262169 ERD262148:ERD262169 FAZ262148:FAZ262169 FKV262148:FKV262169 FUR262148:FUR262169 GEN262148:GEN262169 GOJ262148:GOJ262169 GYF262148:GYF262169 HIB262148:HIB262169 HRX262148:HRX262169 IBT262148:IBT262169 ILP262148:ILP262169 IVL262148:IVL262169 JFH262148:JFH262169 JPD262148:JPD262169 JYZ262148:JYZ262169 KIV262148:KIV262169 KSR262148:KSR262169 LCN262148:LCN262169 LMJ262148:LMJ262169 LWF262148:LWF262169 MGB262148:MGB262169 MPX262148:MPX262169 MZT262148:MZT262169 NJP262148:NJP262169 NTL262148:NTL262169 ODH262148:ODH262169 OND262148:OND262169 OWZ262148:OWZ262169 PGV262148:PGV262169 PQR262148:PQR262169 QAN262148:QAN262169 QKJ262148:QKJ262169 QUF262148:QUF262169 REB262148:REB262169 RNX262148:RNX262169 RXT262148:RXT262169 SHP262148:SHP262169 SRL262148:SRL262169 TBH262148:TBH262169 TLD262148:TLD262169 TUZ262148:TUZ262169 UEV262148:UEV262169 UOR262148:UOR262169 UYN262148:UYN262169 VIJ262148:VIJ262169 VSF262148:VSF262169 WCB262148:WCB262169 WLX262148:WLX262169 WVT262148:WVT262169 K327684:K327705 JH327684:JH327705 TD327684:TD327705 ACZ327684:ACZ327705 AMV327684:AMV327705 AWR327684:AWR327705 BGN327684:BGN327705 BQJ327684:BQJ327705 CAF327684:CAF327705 CKB327684:CKB327705 CTX327684:CTX327705 DDT327684:DDT327705 DNP327684:DNP327705 DXL327684:DXL327705 EHH327684:EHH327705 ERD327684:ERD327705 FAZ327684:FAZ327705 FKV327684:FKV327705 FUR327684:FUR327705 GEN327684:GEN327705 GOJ327684:GOJ327705 GYF327684:GYF327705 HIB327684:HIB327705 HRX327684:HRX327705 IBT327684:IBT327705 ILP327684:ILP327705 IVL327684:IVL327705 JFH327684:JFH327705 JPD327684:JPD327705 JYZ327684:JYZ327705 KIV327684:KIV327705 KSR327684:KSR327705 LCN327684:LCN327705 LMJ327684:LMJ327705 LWF327684:LWF327705 MGB327684:MGB327705 MPX327684:MPX327705 MZT327684:MZT327705 NJP327684:NJP327705 NTL327684:NTL327705 ODH327684:ODH327705 OND327684:OND327705 OWZ327684:OWZ327705 PGV327684:PGV327705 PQR327684:PQR327705 QAN327684:QAN327705 QKJ327684:QKJ327705 QUF327684:QUF327705 REB327684:REB327705 RNX327684:RNX327705 RXT327684:RXT327705 SHP327684:SHP327705 SRL327684:SRL327705 TBH327684:TBH327705 TLD327684:TLD327705 TUZ327684:TUZ327705 UEV327684:UEV327705 UOR327684:UOR327705 UYN327684:UYN327705 VIJ327684:VIJ327705 VSF327684:VSF327705 WCB327684:WCB327705 WLX327684:WLX327705 WVT327684:WVT327705 K393220:K393241 JH393220:JH393241 TD393220:TD393241 ACZ393220:ACZ393241 AMV393220:AMV393241 AWR393220:AWR393241 BGN393220:BGN393241 BQJ393220:BQJ393241 CAF393220:CAF393241 CKB393220:CKB393241 CTX393220:CTX393241 DDT393220:DDT393241 DNP393220:DNP393241 DXL393220:DXL393241 EHH393220:EHH393241 ERD393220:ERD393241 FAZ393220:FAZ393241 FKV393220:FKV393241 FUR393220:FUR393241 GEN393220:GEN393241 GOJ393220:GOJ393241 GYF393220:GYF393241 HIB393220:HIB393241 HRX393220:HRX393241 IBT393220:IBT393241 ILP393220:ILP393241 IVL393220:IVL393241 JFH393220:JFH393241 JPD393220:JPD393241 JYZ393220:JYZ393241 KIV393220:KIV393241 KSR393220:KSR393241 LCN393220:LCN393241 LMJ393220:LMJ393241 LWF393220:LWF393241 MGB393220:MGB393241 MPX393220:MPX393241 MZT393220:MZT393241 NJP393220:NJP393241 NTL393220:NTL393241 ODH393220:ODH393241 OND393220:OND393241 OWZ393220:OWZ393241 PGV393220:PGV393241 PQR393220:PQR393241 QAN393220:QAN393241 QKJ393220:QKJ393241 QUF393220:QUF393241 REB393220:REB393241 RNX393220:RNX393241 RXT393220:RXT393241 SHP393220:SHP393241 SRL393220:SRL393241 TBH393220:TBH393241 TLD393220:TLD393241 TUZ393220:TUZ393241 UEV393220:UEV393241 UOR393220:UOR393241 UYN393220:UYN393241 VIJ393220:VIJ393241 VSF393220:VSF393241 WCB393220:WCB393241 WLX393220:WLX393241 WVT393220:WVT393241 K458756:K458777 JH458756:JH458777 TD458756:TD458777 ACZ458756:ACZ458777 AMV458756:AMV458777 AWR458756:AWR458777 BGN458756:BGN458777 BQJ458756:BQJ458777 CAF458756:CAF458777 CKB458756:CKB458777 CTX458756:CTX458777 DDT458756:DDT458777 DNP458756:DNP458777 DXL458756:DXL458777 EHH458756:EHH458777 ERD458756:ERD458777 FAZ458756:FAZ458777 FKV458756:FKV458777 FUR458756:FUR458777 GEN458756:GEN458777 GOJ458756:GOJ458777 GYF458756:GYF458777 HIB458756:HIB458777 HRX458756:HRX458777 IBT458756:IBT458777 ILP458756:ILP458777 IVL458756:IVL458777 JFH458756:JFH458777 JPD458756:JPD458777 JYZ458756:JYZ458777 KIV458756:KIV458777 KSR458756:KSR458777 LCN458756:LCN458777 LMJ458756:LMJ458777 LWF458756:LWF458777 MGB458756:MGB458777 MPX458756:MPX458777 MZT458756:MZT458777 NJP458756:NJP458777 NTL458756:NTL458777 ODH458756:ODH458777 OND458756:OND458777 OWZ458756:OWZ458777 PGV458756:PGV458777 PQR458756:PQR458777 QAN458756:QAN458777 QKJ458756:QKJ458777 QUF458756:QUF458777 REB458756:REB458777 RNX458756:RNX458777 RXT458756:RXT458777 SHP458756:SHP458777 SRL458756:SRL458777 TBH458756:TBH458777 TLD458756:TLD458777 TUZ458756:TUZ458777 UEV458756:UEV458777 UOR458756:UOR458777 UYN458756:UYN458777 VIJ458756:VIJ458777 VSF458756:VSF458777 WCB458756:WCB458777 WLX458756:WLX458777 WVT458756:WVT458777 K524292:K524313 JH524292:JH524313 TD524292:TD524313 ACZ524292:ACZ524313 AMV524292:AMV524313 AWR524292:AWR524313 BGN524292:BGN524313 BQJ524292:BQJ524313 CAF524292:CAF524313 CKB524292:CKB524313 CTX524292:CTX524313 DDT524292:DDT524313 DNP524292:DNP524313 DXL524292:DXL524313 EHH524292:EHH524313 ERD524292:ERD524313 FAZ524292:FAZ524313 FKV524292:FKV524313 FUR524292:FUR524313 GEN524292:GEN524313 GOJ524292:GOJ524313 GYF524292:GYF524313 HIB524292:HIB524313 HRX524292:HRX524313 IBT524292:IBT524313 ILP524292:ILP524313 IVL524292:IVL524313 JFH524292:JFH524313 JPD524292:JPD524313 JYZ524292:JYZ524313 KIV524292:KIV524313 KSR524292:KSR524313 LCN524292:LCN524313 LMJ524292:LMJ524313 LWF524292:LWF524313 MGB524292:MGB524313 MPX524292:MPX524313 MZT524292:MZT524313 NJP524292:NJP524313 NTL524292:NTL524313 ODH524292:ODH524313 OND524292:OND524313 OWZ524292:OWZ524313 PGV524292:PGV524313 PQR524292:PQR524313 QAN524292:QAN524313 QKJ524292:QKJ524313 QUF524292:QUF524313 REB524292:REB524313 RNX524292:RNX524313 RXT524292:RXT524313 SHP524292:SHP524313 SRL524292:SRL524313 TBH524292:TBH524313 TLD524292:TLD524313 TUZ524292:TUZ524313 UEV524292:UEV524313 UOR524292:UOR524313 UYN524292:UYN524313 VIJ524292:VIJ524313 VSF524292:VSF524313 WCB524292:WCB524313 WLX524292:WLX524313 WVT524292:WVT524313 K589828:K589849 JH589828:JH589849 TD589828:TD589849 ACZ589828:ACZ589849 AMV589828:AMV589849 AWR589828:AWR589849 BGN589828:BGN589849 BQJ589828:BQJ589849 CAF589828:CAF589849 CKB589828:CKB589849 CTX589828:CTX589849 DDT589828:DDT589849 DNP589828:DNP589849 DXL589828:DXL589849 EHH589828:EHH589849 ERD589828:ERD589849 FAZ589828:FAZ589849 FKV589828:FKV589849 FUR589828:FUR589849 GEN589828:GEN589849 GOJ589828:GOJ589849 GYF589828:GYF589849 HIB589828:HIB589849 HRX589828:HRX589849 IBT589828:IBT589849 ILP589828:ILP589849 IVL589828:IVL589849 JFH589828:JFH589849 JPD589828:JPD589849 JYZ589828:JYZ589849 KIV589828:KIV589849 KSR589828:KSR589849 LCN589828:LCN589849 LMJ589828:LMJ589849 LWF589828:LWF589849 MGB589828:MGB589849 MPX589828:MPX589849 MZT589828:MZT589849 NJP589828:NJP589849 NTL589828:NTL589849 ODH589828:ODH589849 OND589828:OND589849 OWZ589828:OWZ589849 PGV589828:PGV589849 PQR589828:PQR589849 QAN589828:QAN589849 QKJ589828:QKJ589849 QUF589828:QUF589849 REB589828:REB589849 RNX589828:RNX589849 RXT589828:RXT589849 SHP589828:SHP589849 SRL589828:SRL589849 TBH589828:TBH589849 TLD589828:TLD589849 TUZ589828:TUZ589849 UEV589828:UEV589849 UOR589828:UOR589849 UYN589828:UYN589849 VIJ589828:VIJ589849 VSF589828:VSF589849 WCB589828:WCB589849 WLX589828:WLX589849 WVT589828:WVT589849 K655364:K655385 JH655364:JH655385 TD655364:TD655385 ACZ655364:ACZ655385 AMV655364:AMV655385 AWR655364:AWR655385 BGN655364:BGN655385 BQJ655364:BQJ655385 CAF655364:CAF655385 CKB655364:CKB655385 CTX655364:CTX655385 DDT655364:DDT655385 DNP655364:DNP655385 DXL655364:DXL655385 EHH655364:EHH655385 ERD655364:ERD655385 FAZ655364:FAZ655385 FKV655364:FKV655385 FUR655364:FUR655385 GEN655364:GEN655385 GOJ655364:GOJ655385 GYF655364:GYF655385 HIB655364:HIB655385 HRX655364:HRX655385 IBT655364:IBT655385 ILP655364:ILP655385 IVL655364:IVL655385 JFH655364:JFH655385 JPD655364:JPD655385 JYZ655364:JYZ655385 KIV655364:KIV655385 KSR655364:KSR655385 LCN655364:LCN655385 LMJ655364:LMJ655385 LWF655364:LWF655385 MGB655364:MGB655385 MPX655364:MPX655385 MZT655364:MZT655385 NJP655364:NJP655385 NTL655364:NTL655385 ODH655364:ODH655385 OND655364:OND655385 OWZ655364:OWZ655385 PGV655364:PGV655385 PQR655364:PQR655385 QAN655364:QAN655385 QKJ655364:QKJ655385 QUF655364:QUF655385 REB655364:REB655385 RNX655364:RNX655385 RXT655364:RXT655385 SHP655364:SHP655385 SRL655364:SRL655385 TBH655364:TBH655385 TLD655364:TLD655385 TUZ655364:TUZ655385 UEV655364:UEV655385 UOR655364:UOR655385 UYN655364:UYN655385 VIJ655364:VIJ655385 VSF655364:VSF655385 WCB655364:WCB655385 WLX655364:WLX655385 WVT655364:WVT655385 K720900:K720921 JH720900:JH720921 TD720900:TD720921 ACZ720900:ACZ720921 AMV720900:AMV720921 AWR720900:AWR720921 BGN720900:BGN720921 BQJ720900:BQJ720921 CAF720900:CAF720921 CKB720900:CKB720921 CTX720900:CTX720921 DDT720900:DDT720921 DNP720900:DNP720921 DXL720900:DXL720921 EHH720900:EHH720921 ERD720900:ERD720921 FAZ720900:FAZ720921 FKV720900:FKV720921 FUR720900:FUR720921 GEN720900:GEN720921 GOJ720900:GOJ720921 GYF720900:GYF720921 HIB720900:HIB720921 HRX720900:HRX720921 IBT720900:IBT720921 ILP720900:ILP720921 IVL720900:IVL720921 JFH720900:JFH720921 JPD720900:JPD720921 JYZ720900:JYZ720921 KIV720900:KIV720921 KSR720900:KSR720921 LCN720900:LCN720921 LMJ720900:LMJ720921 LWF720900:LWF720921 MGB720900:MGB720921 MPX720900:MPX720921 MZT720900:MZT720921 NJP720900:NJP720921 NTL720900:NTL720921 ODH720900:ODH720921 OND720900:OND720921 OWZ720900:OWZ720921 PGV720900:PGV720921 PQR720900:PQR720921 QAN720900:QAN720921 QKJ720900:QKJ720921 QUF720900:QUF720921 REB720900:REB720921 RNX720900:RNX720921 RXT720900:RXT720921 SHP720900:SHP720921 SRL720900:SRL720921 TBH720900:TBH720921 TLD720900:TLD720921 TUZ720900:TUZ720921 UEV720900:UEV720921 UOR720900:UOR720921 UYN720900:UYN720921 VIJ720900:VIJ720921 VSF720900:VSF720921 WCB720900:WCB720921 WLX720900:WLX720921 WVT720900:WVT720921 K786436:K786457 JH786436:JH786457 TD786436:TD786457 ACZ786436:ACZ786457 AMV786436:AMV786457 AWR786436:AWR786457 BGN786436:BGN786457 BQJ786436:BQJ786457 CAF786436:CAF786457 CKB786436:CKB786457 CTX786436:CTX786457 DDT786436:DDT786457 DNP786436:DNP786457 DXL786436:DXL786457 EHH786436:EHH786457 ERD786436:ERD786457 FAZ786436:FAZ786457 FKV786436:FKV786457 FUR786436:FUR786457 GEN786436:GEN786457 GOJ786436:GOJ786457 GYF786436:GYF786457 HIB786436:HIB786457 HRX786436:HRX786457 IBT786436:IBT786457 ILP786436:ILP786457 IVL786436:IVL786457 JFH786436:JFH786457 JPD786436:JPD786457 JYZ786436:JYZ786457 KIV786436:KIV786457 KSR786436:KSR786457 LCN786436:LCN786457 LMJ786436:LMJ786457 LWF786436:LWF786457 MGB786436:MGB786457 MPX786436:MPX786457 MZT786436:MZT786457 NJP786436:NJP786457 NTL786436:NTL786457 ODH786436:ODH786457 OND786436:OND786457 OWZ786436:OWZ786457 PGV786436:PGV786457 PQR786436:PQR786457 QAN786436:QAN786457 QKJ786436:QKJ786457 QUF786436:QUF786457 REB786436:REB786457 RNX786436:RNX786457 RXT786436:RXT786457 SHP786436:SHP786457 SRL786436:SRL786457 TBH786436:TBH786457 TLD786436:TLD786457 TUZ786436:TUZ786457 UEV786436:UEV786457 UOR786436:UOR786457 UYN786436:UYN786457 VIJ786436:VIJ786457 VSF786436:VSF786457 WCB786436:WCB786457 WLX786436:WLX786457 WVT786436:WVT786457 K851972:K851993 JH851972:JH851993 TD851972:TD851993 ACZ851972:ACZ851993 AMV851972:AMV851993 AWR851972:AWR851993 BGN851972:BGN851993 BQJ851972:BQJ851993 CAF851972:CAF851993 CKB851972:CKB851993 CTX851972:CTX851993 DDT851972:DDT851993 DNP851972:DNP851993 DXL851972:DXL851993 EHH851972:EHH851993 ERD851972:ERD851993 FAZ851972:FAZ851993 FKV851972:FKV851993 FUR851972:FUR851993 GEN851972:GEN851993 GOJ851972:GOJ851993 GYF851972:GYF851993 HIB851972:HIB851993 HRX851972:HRX851993 IBT851972:IBT851993 ILP851972:ILP851993 IVL851972:IVL851993 JFH851972:JFH851993 JPD851972:JPD851993 JYZ851972:JYZ851993 KIV851972:KIV851993 KSR851972:KSR851993 LCN851972:LCN851993 LMJ851972:LMJ851993 LWF851972:LWF851993 MGB851972:MGB851993 MPX851972:MPX851993 MZT851972:MZT851993 NJP851972:NJP851993 NTL851972:NTL851993 ODH851972:ODH851993 OND851972:OND851993 OWZ851972:OWZ851993 PGV851972:PGV851993 PQR851972:PQR851993 QAN851972:QAN851993 QKJ851972:QKJ851993 QUF851972:QUF851993 REB851972:REB851993 RNX851972:RNX851993 RXT851972:RXT851993 SHP851972:SHP851993 SRL851972:SRL851993 TBH851972:TBH851993 TLD851972:TLD851993 TUZ851972:TUZ851993 UEV851972:UEV851993 UOR851972:UOR851993 UYN851972:UYN851993 VIJ851972:VIJ851993 VSF851972:VSF851993 WCB851972:WCB851993 WLX851972:WLX851993 WVT851972:WVT851993 K917508:K917529 JH917508:JH917529 TD917508:TD917529 ACZ917508:ACZ917529 AMV917508:AMV917529 AWR917508:AWR917529 BGN917508:BGN917529 BQJ917508:BQJ917529 CAF917508:CAF917529 CKB917508:CKB917529 CTX917508:CTX917529 DDT917508:DDT917529 DNP917508:DNP917529 DXL917508:DXL917529 EHH917508:EHH917529 ERD917508:ERD917529 FAZ917508:FAZ917529 FKV917508:FKV917529 FUR917508:FUR917529 GEN917508:GEN917529 GOJ917508:GOJ917529 GYF917508:GYF917529 HIB917508:HIB917529 HRX917508:HRX917529 IBT917508:IBT917529 ILP917508:ILP917529 IVL917508:IVL917529 JFH917508:JFH917529 JPD917508:JPD917529 JYZ917508:JYZ917529 KIV917508:KIV917529 KSR917508:KSR917529 LCN917508:LCN917529 LMJ917508:LMJ917529 LWF917508:LWF917529 MGB917508:MGB917529 MPX917508:MPX917529 MZT917508:MZT917529 NJP917508:NJP917529 NTL917508:NTL917529 ODH917508:ODH917529 OND917508:OND917529 OWZ917508:OWZ917529 PGV917508:PGV917529 PQR917508:PQR917529 QAN917508:QAN917529 QKJ917508:QKJ917529 QUF917508:QUF917529 REB917508:REB917529 RNX917508:RNX917529 RXT917508:RXT917529 SHP917508:SHP917529 SRL917508:SRL917529 TBH917508:TBH917529 TLD917508:TLD917529 TUZ917508:TUZ917529 UEV917508:UEV917529 UOR917508:UOR917529 UYN917508:UYN917529 VIJ917508:VIJ917529 VSF917508:VSF917529 WCB917508:WCB917529 WLX917508:WLX917529 WVT917508:WVT917529 K983044:K983065 JH983044:JH983065 TD983044:TD983065 ACZ983044:ACZ983065 AMV983044:AMV983065 AWR983044:AWR983065 BGN983044:BGN983065 BQJ983044:BQJ983065 CAF983044:CAF983065 CKB983044:CKB983065 CTX983044:CTX983065 DDT983044:DDT983065 DNP983044:DNP983065 DXL983044:DXL983065 EHH983044:EHH983065 ERD983044:ERD983065 FAZ983044:FAZ983065 FKV983044:FKV983065 FUR983044:FUR983065 GEN983044:GEN983065 GOJ983044:GOJ983065 GYF983044:GYF983065 HIB983044:HIB983065 HRX983044:HRX983065 IBT983044:IBT983065 ILP983044:ILP983065 IVL983044:IVL983065 JFH983044:JFH983065 JPD983044:JPD983065 JYZ983044:JYZ983065 KIV983044:KIV983065 KSR983044:KSR983065 LCN983044:LCN983065 LMJ983044:LMJ983065 LWF983044:LWF983065 MGB983044:MGB983065 MPX983044:MPX983065 MZT983044:MZT983065 NJP983044:NJP983065 NTL983044:NTL983065 ODH983044:ODH983065 OND983044:OND983065 OWZ983044:OWZ983065 PGV983044:PGV983065 PQR983044:PQR983065 QAN983044:QAN983065 QKJ983044:QKJ983065 QUF983044:QUF983065 REB983044:REB983065 RNX983044:RNX983065 RXT983044:RXT983065 SHP983044:SHP983065 SRL983044:SRL983065 TBH983044:TBH983065 TLD983044:TLD983065 TUZ983044:TUZ983065 UEV983044:UEV983065 UOR983044:UOR983065 UYN983044:UYN983065 VIJ983044:VIJ983065 VSF983044:VSF983065 WCB983044:WCB983065 WLX983044:WLX983065 WVT983044:WVT983065" xr:uid="{D923412C-0A70-0F47-995F-681A79C49584}">
      <formula1>FUENTE_DE_LOS_RECURSOS</formula1>
    </dataValidation>
    <dataValidation type="list" allowBlank="1" showInputMessage="1" showErrorMessage="1" sqref="J69 JG69 TC69 ACY69 AMU69 AWQ69 BGM69 BQI69 CAE69 CKA69 CTW69 DDS69 DNO69 DXK69 EHG69 ERC69 FAY69 FKU69 FUQ69 GEM69 GOI69 GYE69 HIA69 HRW69 IBS69 ILO69 IVK69 JFG69 JPC69 JYY69 KIU69 KSQ69 LCM69 LMI69 LWE69 MGA69 MPW69 MZS69 NJO69 NTK69 ODG69 ONC69 OWY69 PGU69 PQQ69 QAM69 QKI69 QUE69 REA69 RNW69 RXS69 SHO69 SRK69 TBG69 TLC69 TUY69 UEU69 UOQ69 UYM69 VII69 VSE69 WCA69 WLW69 WVS69 J65597 JG65597 TC65597 ACY65597 AMU65597 AWQ65597 BGM65597 BQI65597 CAE65597 CKA65597 CTW65597 DDS65597 DNO65597 DXK65597 EHG65597 ERC65597 FAY65597 FKU65597 FUQ65597 GEM65597 GOI65597 GYE65597 HIA65597 HRW65597 IBS65597 ILO65597 IVK65597 JFG65597 JPC65597 JYY65597 KIU65597 KSQ65597 LCM65597 LMI65597 LWE65597 MGA65597 MPW65597 MZS65597 NJO65597 NTK65597 ODG65597 ONC65597 OWY65597 PGU65597 PQQ65597 QAM65597 QKI65597 QUE65597 REA65597 RNW65597 RXS65597 SHO65597 SRK65597 TBG65597 TLC65597 TUY65597 UEU65597 UOQ65597 UYM65597 VII65597 VSE65597 WCA65597 WLW65597 WVS65597 J131133 JG131133 TC131133 ACY131133 AMU131133 AWQ131133 BGM131133 BQI131133 CAE131133 CKA131133 CTW131133 DDS131133 DNO131133 DXK131133 EHG131133 ERC131133 FAY131133 FKU131133 FUQ131133 GEM131133 GOI131133 GYE131133 HIA131133 HRW131133 IBS131133 ILO131133 IVK131133 JFG131133 JPC131133 JYY131133 KIU131133 KSQ131133 LCM131133 LMI131133 LWE131133 MGA131133 MPW131133 MZS131133 NJO131133 NTK131133 ODG131133 ONC131133 OWY131133 PGU131133 PQQ131133 QAM131133 QKI131133 QUE131133 REA131133 RNW131133 RXS131133 SHO131133 SRK131133 TBG131133 TLC131133 TUY131133 UEU131133 UOQ131133 UYM131133 VII131133 VSE131133 WCA131133 WLW131133 WVS131133 J196669 JG196669 TC196669 ACY196669 AMU196669 AWQ196669 BGM196669 BQI196669 CAE196669 CKA196669 CTW196669 DDS196669 DNO196669 DXK196669 EHG196669 ERC196669 FAY196669 FKU196669 FUQ196669 GEM196669 GOI196669 GYE196669 HIA196669 HRW196669 IBS196669 ILO196669 IVK196669 JFG196669 JPC196669 JYY196669 KIU196669 KSQ196669 LCM196669 LMI196669 LWE196669 MGA196669 MPW196669 MZS196669 NJO196669 NTK196669 ODG196669 ONC196669 OWY196669 PGU196669 PQQ196669 QAM196669 QKI196669 QUE196669 REA196669 RNW196669 RXS196669 SHO196669 SRK196669 TBG196669 TLC196669 TUY196669 UEU196669 UOQ196669 UYM196669 VII196669 VSE196669 WCA196669 WLW196669 WVS196669 J262205 JG262205 TC262205 ACY262205 AMU262205 AWQ262205 BGM262205 BQI262205 CAE262205 CKA262205 CTW262205 DDS262205 DNO262205 DXK262205 EHG262205 ERC262205 FAY262205 FKU262205 FUQ262205 GEM262205 GOI262205 GYE262205 HIA262205 HRW262205 IBS262205 ILO262205 IVK262205 JFG262205 JPC262205 JYY262205 KIU262205 KSQ262205 LCM262205 LMI262205 LWE262205 MGA262205 MPW262205 MZS262205 NJO262205 NTK262205 ODG262205 ONC262205 OWY262205 PGU262205 PQQ262205 QAM262205 QKI262205 QUE262205 REA262205 RNW262205 RXS262205 SHO262205 SRK262205 TBG262205 TLC262205 TUY262205 UEU262205 UOQ262205 UYM262205 VII262205 VSE262205 WCA262205 WLW262205 WVS262205 J327741 JG327741 TC327741 ACY327741 AMU327741 AWQ327741 BGM327741 BQI327741 CAE327741 CKA327741 CTW327741 DDS327741 DNO327741 DXK327741 EHG327741 ERC327741 FAY327741 FKU327741 FUQ327741 GEM327741 GOI327741 GYE327741 HIA327741 HRW327741 IBS327741 ILO327741 IVK327741 JFG327741 JPC327741 JYY327741 KIU327741 KSQ327741 LCM327741 LMI327741 LWE327741 MGA327741 MPW327741 MZS327741 NJO327741 NTK327741 ODG327741 ONC327741 OWY327741 PGU327741 PQQ327741 QAM327741 QKI327741 QUE327741 REA327741 RNW327741 RXS327741 SHO327741 SRK327741 TBG327741 TLC327741 TUY327741 UEU327741 UOQ327741 UYM327741 VII327741 VSE327741 WCA327741 WLW327741 WVS327741 J393277 JG393277 TC393277 ACY393277 AMU393277 AWQ393277 BGM393277 BQI393277 CAE393277 CKA393277 CTW393277 DDS393277 DNO393277 DXK393277 EHG393277 ERC393277 FAY393277 FKU393277 FUQ393277 GEM393277 GOI393277 GYE393277 HIA393277 HRW393277 IBS393277 ILO393277 IVK393277 JFG393277 JPC393277 JYY393277 KIU393277 KSQ393277 LCM393277 LMI393277 LWE393277 MGA393277 MPW393277 MZS393277 NJO393277 NTK393277 ODG393277 ONC393277 OWY393277 PGU393277 PQQ393277 QAM393277 QKI393277 QUE393277 REA393277 RNW393277 RXS393277 SHO393277 SRK393277 TBG393277 TLC393277 TUY393277 UEU393277 UOQ393277 UYM393277 VII393277 VSE393277 WCA393277 WLW393277 WVS393277 J458813 JG458813 TC458813 ACY458813 AMU458813 AWQ458813 BGM458813 BQI458813 CAE458813 CKA458813 CTW458813 DDS458813 DNO458813 DXK458813 EHG458813 ERC458813 FAY458813 FKU458813 FUQ458813 GEM458813 GOI458813 GYE458813 HIA458813 HRW458813 IBS458813 ILO458813 IVK458813 JFG458813 JPC458813 JYY458813 KIU458813 KSQ458813 LCM458813 LMI458813 LWE458813 MGA458813 MPW458813 MZS458813 NJO458813 NTK458813 ODG458813 ONC458813 OWY458813 PGU458813 PQQ458813 QAM458813 QKI458813 QUE458813 REA458813 RNW458813 RXS458813 SHO458813 SRK458813 TBG458813 TLC458813 TUY458813 UEU458813 UOQ458813 UYM458813 VII458813 VSE458813 WCA458813 WLW458813 WVS458813 J524349 JG524349 TC524349 ACY524349 AMU524349 AWQ524349 BGM524349 BQI524349 CAE524349 CKA524349 CTW524349 DDS524349 DNO524349 DXK524349 EHG524349 ERC524349 FAY524349 FKU524349 FUQ524349 GEM524349 GOI524349 GYE524349 HIA524349 HRW524349 IBS524349 ILO524349 IVK524349 JFG524349 JPC524349 JYY524349 KIU524349 KSQ524349 LCM524349 LMI524349 LWE524349 MGA524349 MPW524349 MZS524349 NJO524349 NTK524349 ODG524349 ONC524349 OWY524349 PGU524349 PQQ524349 QAM524349 QKI524349 QUE524349 REA524349 RNW524349 RXS524349 SHO524349 SRK524349 TBG524349 TLC524349 TUY524349 UEU524349 UOQ524349 UYM524349 VII524349 VSE524349 WCA524349 WLW524349 WVS524349 J589885 JG589885 TC589885 ACY589885 AMU589885 AWQ589885 BGM589885 BQI589885 CAE589885 CKA589885 CTW589885 DDS589885 DNO589885 DXK589885 EHG589885 ERC589885 FAY589885 FKU589885 FUQ589885 GEM589885 GOI589885 GYE589885 HIA589885 HRW589885 IBS589885 ILO589885 IVK589885 JFG589885 JPC589885 JYY589885 KIU589885 KSQ589885 LCM589885 LMI589885 LWE589885 MGA589885 MPW589885 MZS589885 NJO589885 NTK589885 ODG589885 ONC589885 OWY589885 PGU589885 PQQ589885 QAM589885 QKI589885 QUE589885 REA589885 RNW589885 RXS589885 SHO589885 SRK589885 TBG589885 TLC589885 TUY589885 UEU589885 UOQ589885 UYM589885 VII589885 VSE589885 WCA589885 WLW589885 WVS589885 J655421 JG655421 TC655421 ACY655421 AMU655421 AWQ655421 BGM655421 BQI655421 CAE655421 CKA655421 CTW655421 DDS655421 DNO655421 DXK655421 EHG655421 ERC655421 FAY655421 FKU655421 FUQ655421 GEM655421 GOI655421 GYE655421 HIA655421 HRW655421 IBS655421 ILO655421 IVK655421 JFG655421 JPC655421 JYY655421 KIU655421 KSQ655421 LCM655421 LMI655421 LWE655421 MGA655421 MPW655421 MZS655421 NJO655421 NTK655421 ODG655421 ONC655421 OWY655421 PGU655421 PQQ655421 QAM655421 QKI655421 QUE655421 REA655421 RNW655421 RXS655421 SHO655421 SRK655421 TBG655421 TLC655421 TUY655421 UEU655421 UOQ655421 UYM655421 VII655421 VSE655421 WCA655421 WLW655421 WVS655421 J720957 JG720957 TC720957 ACY720957 AMU720957 AWQ720957 BGM720957 BQI720957 CAE720957 CKA720957 CTW720957 DDS720957 DNO720957 DXK720957 EHG720957 ERC720957 FAY720957 FKU720957 FUQ720957 GEM720957 GOI720957 GYE720957 HIA720957 HRW720957 IBS720957 ILO720957 IVK720957 JFG720957 JPC720957 JYY720957 KIU720957 KSQ720957 LCM720957 LMI720957 LWE720957 MGA720957 MPW720957 MZS720957 NJO720957 NTK720957 ODG720957 ONC720957 OWY720957 PGU720957 PQQ720957 QAM720957 QKI720957 QUE720957 REA720957 RNW720957 RXS720957 SHO720957 SRK720957 TBG720957 TLC720957 TUY720957 UEU720957 UOQ720957 UYM720957 VII720957 VSE720957 WCA720957 WLW720957 WVS720957 J786493 JG786493 TC786493 ACY786493 AMU786493 AWQ786493 BGM786493 BQI786493 CAE786493 CKA786493 CTW786493 DDS786493 DNO786493 DXK786493 EHG786493 ERC786493 FAY786493 FKU786493 FUQ786493 GEM786493 GOI786493 GYE786493 HIA786493 HRW786493 IBS786493 ILO786493 IVK786493 JFG786493 JPC786493 JYY786493 KIU786493 KSQ786493 LCM786493 LMI786493 LWE786493 MGA786493 MPW786493 MZS786493 NJO786493 NTK786493 ODG786493 ONC786493 OWY786493 PGU786493 PQQ786493 QAM786493 QKI786493 QUE786493 REA786493 RNW786493 RXS786493 SHO786493 SRK786493 TBG786493 TLC786493 TUY786493 UEU786493 UOQ786493 UYM786493 VII786493 VSE786493 WCA786493 WLW786493 WVS786493 J852029 JG852029 TC852029 ACY852029 AMU852029 AWQ852029 BGM852029 BQI852029 CAE852029 CKA852029 CTW852029 DDS852029 DNO852029 DXK852029 EHG852029 ERC852029 FAY852029 FKU852029 FUQ852029 GEM852029 GOI852029 GYE852029 HIA852029 HRW852029 IBS852029 ILO852029 IVK852029 JFG852029 JPC852029 JYY852029 KIU852029 KSQ852029 LCM852029 LMI852029 LWE852029 MGA852029 MPW852029 MZS852029 NJO852029 NTK852029 ODG852029 ONC852029 OWY852029 PGU852029 PQQ852029 QAM852029 QKI852029 QUE852029 REA852029 RNW852029 RXS852029 SHO852029 SRK852029 TBG852029 TLC852029 TUY852029 UEU852029 UOQ852029 UYM852029 VII852029 VSE852029 WCA852029 WLW852029 WVS852029 J917565 JG917565 TC917565 ACY917565 AMU917565 AWQ917565 BGM917565 BQI917565 CAE917565 CKA917565 CTW917565 DDS917565 DNO917565 DXK917565 EHG917565 ERC917565 FAY917565 FKU917565 FUQ917565 GEM917565 GOI917565 GYE917565 HIA917565 HRW917565 IBS917565 ILO917565 IVK917565 JFG917565 JPC917565 JYY917565 KIU917565 KSQ917565 LCM917565 LMI917565 LWE917565 MGA917565 MPW917565 MZS917565 NJO917565 NTK917565 ODG917565 ONC917565 OWY917565 PGU917565 PQQ917565 QAM917565 QKI917565 QUE917565 REA917565 RNW917565 RXS917565 SHO917565 SRK917565 TBG917565 TLC917565 TUY917565 UEU917565 UOQ917565 UYM917565 VII917565 VSE917565 WCA917565 WLW917565 WVS917565 J983101 JG983101 TC983101 ACY983101 AMU983101 AWQ983101 BGM983101 BQI983101 CAE983101 CKA983101 CTW983101 DDS983101 DNO983101 DXK983101 EHG983101 ERC983101 FAY983101 FKU983101 FUQ983101 GEM983101 GOI983101 GYE983101 HIA983101 HRW983101 IBS983101 ILO983101 IVK983101 JFG983101 JPC983101 JYY983101 KIU983101 KSQ983101 LCM983101 LMI983101 LWE983101 MGA983101 MPW983101 MZS983101 NJO983101 NTK983101 ODG983101 ONC983101 OWY983101 PGU983101 PQQ983101 QAM983101 QKI983101 QUE983101 REA983101 RNW983101 RXS983101 SHO983101 SRK983101 TBG983101 TLC983101 TUY983101 UEU983101 UOQ983101 UYM983101 VII983101 VSE983101 WCA983101 WLW983101 WVS983101 J49:J50 JG49:JG50 TC49:TC50 ACY49:ACY50 AMU49:AMU50 AWQ49:AWQ50 BGM49:BGM50 BQI49:BQI50 CAE49:CAE50 CKA49:CKA50 CTW49:CTW50 DDS49:DDS50 DNO49:DNO50 DXK49:DXK50 EHG49:EHG50 ERC49:ERC50 FAY49:FAY50 FKU49:FKU50 FUQ49:FUQ50 GEM49:GEM50 GOI49:GOI50 GYE49:GYE50 HIA49:HIA50 HRW49:HRW50 IBS49:IBS50 ILO49:ILO50 IVK49:IVK50 JFG49:JFG50 JPC49:JPC50 JYY49:JYY50 KIU49:KIU50 KSQ49:KSQ50 LCM49:LCM50 LMI49:LMI50 LWE49:LWE50 MGA49:MGA50 MPW49:MPW50 MZS49:MZS50 NJO49:NJO50 NTK49:NTK50 ODG49:ODG50 ONC49:ONC50 OWY49:OWY50 PGU49:PGU50 PQQ49:PQQ50 QAM49:QAM50 QKI49:QKI50 QUE49:QUE50 REA49:REA50 RNW49:RNW50 RXS49:RXS50 SHO49:SHO50 SRK49:SRK50 TBG49:TBG50 TLC49:TLC50 TUY49:TUY50 UEU49:UEU50 UOQ49:UOQ50 UYM49:UYM50 VII49:VII50 VSE49:VSE50 WCA49:WCA50 WLW49:WLW50 WVS49:WVS50 J65577:J65578 JG65577:JG65578 TC65577:TC65578 ACY65577:ACY65578 AMU65577:AMU65578 AWQ65577:AWQ65578 BGM65577:BGM65578 BQI65577:BQI65578 CAE65577:CAE65578 CKA65577:CKA65578 CTW65577:CTW65578 DDS65577:DDS65578 DNO65577:DNO65578 DXK65577:DXK65578 EHG65577:EHG65578 ERC65577:ERC65578 FAY65577:FAY65578 FKU65577:FKU65578 FUQ65577:FUQ65578 GEM65577:GEM65578 GOI65577:GOI65578 GYE65577:GYE65578 HIA65577:HIA65578 HRW65577:HRW65578 IBS65577:IBS65578 ILO65577:ILO65578 IVK65577:IVK65578 JFG65577:JFG65578 JPC65577:JPC65578 JYY65577:JYY65578 KIU65577:KIU65578 KSQ65577:KSQ65578 LCM65577:LCM65578 LMI65577:LMI65578 LWE65577:LWE65578 MGA65577:MGA65578 MPW65577:MPW65578 MZS65577:MZS65578 NJO65577:NJO65578 NTK65577:NTK65578 ODG65577:ODG65578 ONC65577:ONC65578 OWY65577:OWY65578 PGU65577:PGU65578 PQQ65577:PQQ65578 QAM65577:QAM65578 QKI65577:QKI65578 QUE65577:QUE65578 REA65577:REA65578 RNW65577:RNW65578 RXS65577:RXS65578 SHO65577:SHO65578 SRK65577:SRK65578 TBG65577:TBG65578 TLC65577:TLC65578 TUY65577:TUY65578 UEU65577:UEU65578 UOQ65577:UOQ65578 UYM65577:UYM65578 VII65577:VII65578 VSE65577:VSE65578 WCA65577:WCA65578 WLW65577:WLW65578 WVS65577:WVS65578 J131113:J131114 JG131113:JG131114 TC131113:TC131114 ACY131113:ACY131114 AMU131113:AMU131114 AWQ131113:AWQ131114 BGM131113:BGM131114 BQI131113:BQI131114 CAE131113:CAE131114 CKA131113:CKA131114 CTW131113:CTW131114 DDS131113:DDS131114 DNO131113:DNO131114 DXK131113:DXK131114 EHG131113:EHG131114 ERC131113:ERC131114 FAY131113:FAY131114 FKU131113:FKU131114 FUQ131113:FUQ131114 GEM131113:GEM131114 GOI131113:GOI131114 GYE131113:GYE131114 HIA131113:HIA131114 HRW131113:HRW131114 IBS131113:IBS131114 ILO131113:ILO131114 IVK131113:IVK131114 JFG131113:JFG131114 JPC131113:JPC131114 JYY131113:JYY131114 KIU131113:KIU131114 KSQ131113:KSQ131114 LCM131113:LCM131114 LMI131113:LMI131114 LWE131113:LWE131114 MGA131113:MGA131114 MPW131113:MPW131114 MZS131113:MZS131114 NJO131113:NJO131114 NTK131113:NTK131114 ODG131113:ODG131114 ONC131113:ONC131114 OWY131113:OWY131114 PGU131113:PGU131114 PQQ131113:PQQ131114 QAM131113:QAM131114 QKI131113:QKI131114 QUE131113:QUE131114 REA131113:REA131114 RNW131113:RNW131114 RXS131113:RXS131114 SHO131113:SHO131114 SRK131113:SRK131114 TBG131113:TBG131114 TLC131113:TLC131114 TUY131113:TUY131114 UEU131113:UEU131114 UOQ131113:UOQ131114 UYM131113:UYM131114 VII131113:VII131114 VSE131113:VSE131114 WCA131113:WCA131114 WLW131113:WLW131114 WVS131113:WVS131114 J196649:J196650 JG196649:JG196650 TC196649:TC196650 ACY196649:ACY196650 AMU196649:AMU196650 AWQ196649:AWQ196650 BGM196649:BGM196650 BQI196649:BQI196650 CAE196649:CAE196650 CKA196649:CKA196650 CTW196649:CTW196650 DDS196649:DDS196650 DNO196649:DNO196650 DXK196649:DXK196650 EHG196649:EHG196650 ERC196649:ERC196650 FAY196649:FAY196650 FKU196649:FKU196650 FUQ196649:FUQ196650 GEM196649:GEM196650 GOI196649:GOI196650 GYE196649:GYE196650 HIA196649:HIA196650 HRW196649:HRW196650 IBS196649:IBS196650 ILO196649:ILO196650 IVK196649:IVK196650 JFG196649:JFG196650 JPC196649:JPC196650 JYY196649:JYY196650 KIU196649:KIU196650 KSQ196649:KSQ196650 LCM196649:LCM196650 LMI196649:LMI196650 LWE196649:LWE196650 MGA196649:MGA196650 MPW196649:MPW196650 MZS196649:MZS196650 NJO196649:NJO196650 NTK196649:NTK196650 ODG196649:ODG196650 ONC196649:ONC196650 OWY196649:OWY196650 PGU196649:PGU196650 PQQ196649:PQQ196650 QAM196649:QAM196650 QKI196649:QKI196650 QUE196649:QUE196650 REA196649:REA196650 RNW196649:RNW196650 RXS196649:RXS196650 SHO196649:SHO196650 SRK196649:SRK196650 TBG196649:TBG196650 TLC196649:TLC196650 TUY196649:TUY196650 UEU196649:UEU196650 UOQ196649:UOQ196650 UYM196649:UYM196650 VII196649:VII196650 VSE196649:VSE196650 WCA196649:WCA196650 WLW196649:WLW196650 WVS196649:WVS196650 J262185:J262186 JG262185:JG262186 TC262185:TC262186 ACY262185:ACY262186 AMU262185:AMU262186 AWQ262185:AWQ262186 BGM262185:BGM262186 BQI262185:BQI262186 CAE262185:CAE262186 CKA262185:CKA262186 CTW262185:CTW262186 DDS262185:DDS262186 DNO262185:DNO262186 DXK262185:DXK262186 EHG262185:EHG262186 ERC262185:ERC262186 FAY262185:FAY262186 FKU262185:FKU262186 FUQ262185:FUQ262186 GEM262185:GEM262186 GOI262185:GOI262186 GYE262185:GYE262186 HIA262185:HIA262186 HRW262185:HRW262186 IBS262185:IBS262186 ILO262185:ILO262186 IVK262185:IVK262186 JFG262185:JFG262186 JPC262185:JPC262186 JYY262185:JYY262186 KIU262185:KIU262186 KSQ262185:KSQ262186 LCM262185:LCM262186 LMI262185:LMI262186 LWE262185:LWE262186 MGA262185:MGA262186 MPW262185:MPW262186 MZS262185:MZS262186 NJO262185:NJO262186 NTK262185:NTK262186 ODG262185:ODG262186 ONC262185:ONC262186 OWY262185:OWY262186 PGU262185:PGU262186 PQQ262185:PQQ262186 QAM262185:QAM262186 QKI262185:QKI262186 QUE262185:QUE262186 REA262185:REA262186 RNW262185:RNW262186 RXS262185:RXS262186 SHO262185:SHO262186 SRK262185:SRK262186 TBG262185:TBG262186 TLC262185:TLC262186 TUY262185:TUY262186 UEU262185:UEU262186 UOQ262185:UOQ262186 UYM262185:UYM262186 VII262185:VII262186 VSE262185:VSE262186 WCA262185:WCA262186 WLW262185:WLW262186 WVS262185:WVS262186 J327721:J327722 JG327721:JG327722 TC327721:TC327722 ACY327721:ACY327722 AMU327721:AMU327722 AWQ327721:AWQ327722 BGM327721:BGM327722 BQI327721:BQI327722 CAE327721:CAE327722 CKA327721:CKA327722 CTW327721:CTW327722 DDS327721:DDS327722 DNO327721:DNO327722 DXK327721:DXK327722 EHG327721:EHG327722 ERC327721:ERC327722 FAY327721:FAY327722 FKU327721:FKU327722 FUQ327721:FUQ327722 GEM327721:GEM327722 GOI327721:GOI327722 GYE327721:GYE327722 HIA327721:HIA327722 HRW327721:HRW327722 IBS327721:IBS327722 ILO327721:ILO327722 IVK327721:IVK327722 JFG327721:JFG327722 JPC327721:JPC327722 JYY327721:JYY327722 KIU327721:KIU327722 KSQ327721:KSQ327722 LCM327721:LCM327722 LMI327721:LMI327722 LWE327721:LWE327722 MGA327721:MGA327722 MPW327721:MPW327722 MZS327721:MZS327722 NJO327721:NJO327722 NTK327721:NTK327722 ODG327721:ODG327722 ONC327721:ONC327722 OWY327721:OWY327722 PGU327721:PGU327722 PQQ327721:PQQ327722 QAM327721:QAM327722 QKI327721:QKI327722 QUE327721:QUE327722 REA327721:REA327722 RNW327721:RNW327722 RXS327721:RXS327722 SHO327721:SHO327722 SRK327721:SRK327722 TBG327721:TBG327722 TLC327721:TLC327722 TUY327721:TUY327722 UEU327721:UEU327722 UOQ327721:UOQ327722 UYM327721:UYM327722 VII327721:VII327722 VSE327721:VSE327722 WCA327721:WCA327722 WLW327721:WLW327722 WVS327721:WVS327722 J393257:J393258 JG393257:JG393258 TC393257:TC393258 ACY393257:ACY393258 AMU393257:AMU393258 AWQ393257:AWQ393258 BGM393257:BGM393258 BQI393257:BQI393258 CAE393257:CAE393258 CKA393257:CKA393258 CTW393257:CTW393258 DDS393257:DDS393258 DNO393257:DNO393258 DXK393257:DXK393258 EHG393257:EHG393258 ERC393257:ERC393258 FAY393257:FAY393258 FKU393257:FKU393258 FUQ393257:FUQ393258 GEM393257:GEM393258 GOI393257:GOI393258 GYE393257:GYE393258 HIA393257:HIA393258 HRW393257:HRW393258 IBS393257:IBS393258 ILO393257:ILO393258 IVK393257:IVK393258 JFG393257:JFG393258 JPC393257:JPC393258 JYY393257:JYY393258 KIU393257:KIU393258 KSQ393257:KSQ393258 LCM393257:LCM393258 LMI393257:LMI393258 LWE393257:LWE393258 MGA393257:MGA393258 MPW393257:MPW393258 MZS393257:MZS393258 NJO393257:NJO393258 NTK393257:NTK393258 ODG393257:ODG393258 ONC393257:ONC393258 OWY393257:OWY393258 PGU393257:PGU393258 PQQ393257:PQQ393258 QAM393257:QAM393258 QKI393257:QKI393258 QUE393257:QUE393258 REA393257:REA393258 RNW393257:RNW393258 RXS393257:RXS393258 SHO393257:SHO393258 SRK393257:SRK393258 TBG393257:TBG393258 TLC393257:TLC393258 TUY393257:TUY393258 UEU393257:UEU393258 UOQ393257:UOQ393258 UYM393257:UYM393258 VII393257:VII393258 VSE393257:VSE393258 WCA393257:WCA393258 WLW393257:WLW393258 WVS393257:WVS393258 J458793:J458794 JG458793:JG458794 TC458793:TC458794 ACY458793:ACY458794 AMU458793:AMU458794 AWQ458793:AWQ458794 BGM458793:BGM458794 BQI458793:BQI458794 CAE458793:CAE458794 CKA458793:CKA458794 CTW458793:CTW458794 DDS458793:DDS458794 DNO458793:DNO458794 DXK458793:DXK458794 EHG458793:EHG458794 ERC458793:ERC458794 FAY458793:FAY458794 FKU458793:FKU458794 FUQ458793:FUQ458794 GEM458793:GEM458794 GOI458793:GOI458794 GYE458793:GYE458794 HIA458793:HIA458794 HRW458793:HRW458794 IBS458793:IBS458794 ILO458793:ILO458794 IVK458793:IVK458794 JFG458793:JFG458794 JPC458793:JPC458794 JYY458793:JYY458794 KIU458793:KIU458794 KSQ458793:KSQ458794 LCM458793:LCM458794 LMI458793:LMI458794 LWE458793:LWE458794 MGA458793:MGA458794 MPW458793:MPW458794 MZS458793:MZS458794 NJO458793:NJO458794 NTK458793:NTK458794 ODG458793:ODG458794 ONC458793:ONC458794 OWY458793:OWY458794 PGU458793:PGU458794 PQQ458793:PQQ458794 QAM458793:QAM458794 QKI458793:QKI458794 QUE458793:QUE458794 REA458793:REA458794 RNW458793:RNW458794 RXS458793:RXS458794 SHO458793:SHO458794 SRK458793:SRK458794 TBG458793:TBG458794 TLC458793:TLC458794 TUY458793:TUY458794 UEU458793:UEU458794 UOQ458793:UOQ458794 UYM458793:UYM458794 VII458793:VII458794 VSE458793:VSE458794 WCA458793:WCA458794 WLW458793:WLW458794 WVS458793:WVS458794 J524329:J524330 JG524329:JG524330 TC524329:TC524330 ACY524329:ACY524330 AMU524329:AMU524330 AWQ524329:AWQ524330 BGM524329:BGM524330 BQI524329:BQI524330 CAE524329:CAE524330 CKA524329:CKA524330 CTW524329:CTW524330 DDS524329:DDS524330 DNO524329:DNO524330 DXK524329:DXK524330 EHG524329:EHG524330 ERC524329:ERC524330 FAY524329:FAY524330 FKU524329:FKU524330 FUQ524329:FUQ524330 GEM524329:GEM524330 GOI524329:GOI524330 GYE524329:GYE524330 HIA524329:HIA524330 HRW524329:HRW524330 IBS524329:IBS524330 ILO524329:ILO524330 IVK524329:IVK524330 JFG524329:JFG524330 JPC524329:JPC524330 JYY524329:JYY524330 KIU524329:KIU524330 KSQ524329:KSQ524330 LCM524329:LCM524330 LMI524329:LMI524330 LWE524329:LWE524330 MGA524329:MGA524330 MPW524329:MPW524330 MZS524329:MZS524330 NJO524329:NJO524330 NTK524329:NTK524330 ODG524329:ODG524330 ONC524329:ONC524330 OWY524329:OWY524330 PGU524329:PGU524330 PQQ524329:PQQ524330 QAM524329:QAM524330 QKI524329:QKI524330 QUE524329:QUE524330 REA524329:REA524330 RNW524329:RNW524330 RXS524329:RXS524330 SHO524329:SHO524330 SRK524329:SRK524330 TBG524329:TBG524330 TLC524329:TLC524330 TUY524329:TUY524330 UEU524329:UEU524330 UOQ524329:UOQ524330 UYM524329:UYM524330 VII524329:VII524330 VSE524329:VSE524330 WCA524329:WCA524330 WLW524329:WLW524330 WVS524329:WVS524330 J589865:J589866 JG589865:JG589866 TC589865:TC589866 ACY589865:ACY589866 AMU589865:AMU589866 AWQ589865:AWQ589866 BGM589865:BGM589866 BQI589865:BQI589866 CAE589865:CAE589866 CKA589865:CKA589866 CTW589865:CTW589866 DDS589865:DDS589866 DNO589865:DNO589866 DXK589865:DXK589866 EHG589865:EHG589866 ERC589865:ERC589866 FAY589865:FAY589866 FKU589865:FKU589866 FUQ589865:FUQ589866 GEM589865:GEM589866 GOI589865:GOI589866 GYE589865:GYE589866 HIA589865:HIA589866 HRW589865:HRW589866 IBS589865:IBS589866 ILO589865:ILO589866 IVK589865:IVK589866 JFG589865:JFG589866 JPC589865:JPC589866 JYY589865:JYY589866 KIU589865:KIU589866 KSQ589865:KSQ589866 LCM589865:LCM589866 LMI589865:LMI589866 LWE589865:LWE589866 MGA589865:MGA589866 MPW589865:MPW589866 MZS589865:MZS589866 NJO589865:NJO589866 NTK589865:NTK589866 ODG589865:ODG589866 ONC589865:ONC589866 OWY589865:OWY589866 PGU589865:PGU589866 PQQ589865:PQQ589866 QAM589865:QAM589866 QKI589865:QKI589866 QUE589865:QUE589866 REA589865:REA589866 RNW589865:RNW589866 RXS589865:RXS589866 SHO589865:SHO589866 SRK589865:SRK589866 TBG589865:TBG589866 TLC589865:TLC589866 TUY589865:TUY589866 UEU589865:UEU589866 UOQ589865:UOQ589866 UYM589865:UYM589866 VII589865:VII589866 VSE589865:VSE589866 WCA589865:WCA589866 WLW589865:WLW589866 WVS589865:WVS589866 J655401:J655402 JG655401:JG655402 TC655401:TC655402 ACY655401:ACY655402 AMU655401:AMU655402 AWQ655401:AWQ655402 BGM655401:BGM655402 BQI655401:BQI655402 CAE655401:CAE655402 CKA655401:CKA655402 CTW655401:CTW655402 DDS655401:DDS655402 DNO655401:DNO655402 DXK655401:DXK655402 EHG655401:EHG655402 ERC655401:ERC655402 FAY655401:FAY655402 FKU655401:FKU655402 FUQ655401:FUQ655402 GEM655401:GEM655402 GOI655401:GOI655402 GYE655401:GYE655402 HIA655401:HIA655402 HRW655401:HRW655402 IBS655401:IBS655402 ILO655401:ILO655402 IVK655401:IVK655402 JFG655401:JFG655402 JPC655401:JPC655402 JYY655401:JYY655402 KIU655401:KIU655402 KSQ655401:KSQ655402 LCM655401:LCM655402 LMI655401:LMI655402 LWE655401:LWE655402 MGA655401:MGA655402 MPW655401:MPW655402 MZS655401:MZS655402 NJO655401:NJO655402 NTK655401:NTK655402 ODG655401:ODG655402 ONC655401:ONC655402 OWY655401:OWY655402 PGU655401:PGU655402 PQQ655401:PQQ655402 QAM655401:QAM655402 QKI655401:QKI655402 QUE655401:QUE655402 REA655401:REA655402 RNW655401:RNW655402 RXS655401:RXS655402 SHO655401:SHO655402 SRK655401:SRK655402 TBG655401:TBG655402 TLC655401:TLC655402 TUY655401:TUY655402 UEU655401:UEU655402 UOQ655401:UOQ655402 UYM655401:UYM655402 VII655401:VII655402 VSE655401:VSE655402 WCA655401:WCA655402 WLW655401:WLW655402 WVS655401:WVS655402 J720937:J720938 JG720937:JG720938 TC720937:TC720938 ACY720937:ACY720938 AMU720937:AMU720938 AWQ720937:AWQ720938 BGM720937:BGM720938 BQI720937:BQI720938 CAE720937:CAE720938 CKA720937:CKA720938 CTW720937:CTW720938 DDS720937:DDS720938 DNO720937:DNO720938 DXK720937:DXK720938 EHG720937:EHG720938 ERC720937:ERC720938 FAY720937:FAY720938 FKU720937:FKU720938 FUQ720937:FUQ720938 GEM720937:GEM720938 GOI720937:GOI720938 GYE720937:GYE720938 HIA720937:HIA720938 HRW720937:HRW720938 IBS720937:IBS720938 ILO720937:ILO720938 IVK720937:IVK720938 JFG720937:JFG720938 JPC720937:JPC720938 JYY720937:JYY720938 KIU720937:KIU720938 KSQ720937:KSQ720938 LCM720937:LCM720938 LMI720937:LMI720938 LWE720937:LWE720938 MGA720937:MGA720938 MPW720937:MPW720938 MZS720937:MZS720938 NJO720937:NJO720938 NTK720937:NTK720938 ODG720937:ODG720938 ONC720937:ONC720938 OWY720937:OWY720938 PGU720937:PGU720938 PQQ720937:PQQ720938 QAM720937:QAM720938 QKI720937:QKI720938 QUE720937:QUE720938 REA720937:REA720938 RNW720937:RNW720938 RXS720937:RXS720938 SHO720937:SHO720938 SRK720937:SRK720938 TBG720937:TBG720938 TLC720937:TLC720938 TUY720937:TUY720938 UEU720937:UEU720938 UOQ720937:UOQ720938 UYM720937:UYM720938 VII720937:VII720938 VSE720937:VSE720938 WCA720937:WCA720938 WLW720937:WLW720938 WVS720937:WVS720938 J786473:J786474 JG786473:JG786474 TC786473:TC786474 ACY786473:ACY786474 AMU786473:AMU786474 AWQ786473:AWQ786474 BGM786473:BGM786474 BQI786473:BQI786474 CAE786473:CAE786474 CKA786473:CKA786474 CTW786473:CTW786474 DDS786473:DDS786474 DNO786473:DNO786474 DXK786473:DXK786474 EHG786473:EHG786474 ERC786473:ERC786474 FAY786473:FAY786474 FKU786473:FKU786474 FUQ786473:FUQ786474 GEM786473:GEM786474 GOI786473:GOI786474 GYE786473:GYE786474 HIA786473:HIA786474 HRW786473:HRW786474 IBS786473:IBS786474 ILO786473:ILO786474 IVK786473:IVK786474 JFG786473:JFG786474 JPC786473:JPC786474 JYY786473:JYY786474 KIU786473:KIU786474 KSQ786473:KSQ786474 LCM786473:LCM786474 LMI786473:LMI786474 LWE786473:LWE786474 MGA786473:MGA786474 MPW786473:MPW786474 MZS786473:MZS786474 NJO786473:NJO786474 NTK786473:NTK786474 ODG786473:ODG786474 ONC786473:ONC786474 OWY786473:OWY786474 PGU786473:PGU786474 PQQ786473:PQQ786474 QAM786473:QAM786474 QKI786473:QKI786474 QUE786473:QUE786474 REA786473:REA786474 RNW786473:RNW786474 RXS786473:RXS786474 SHO786473:SHO786474 SRK786473:SRK786474 TBG786473:TBG786474 TLC786473:TLC786474 TUY786473:TUY786474 UEU786473:UEU786474 UOQ786473:UOQ786474 UYM786473:UYM786474 VII786473:VII786474 VSE786473:VSE786474 WCA786473:WCA786474 WLW786473:WLW786474 WVS786473:WVS786474 J852009:J852010 JG852009:JG852010 TC852009:TC852010 ACY852009:ACY852010 AMU852009:AMU852010 AWQ852009:AWQ852010 BGM852009:BGM852010 BQI852009:BQI852010 CAE852009:CAE852010 CKA852009:CKA852010 CTW852009:CTW852010 DDS852009:DDS852010 DNO852009:DNO852010 DXK852009:DXK852010 EHG852009:EHG852010 ERC852009:ERC852010 FAY852009:FAY852010 FKU852009:FKU852010 FUQ852009:FUQ852010 GEM852009:GEM852010 GOI852009:GOI852010 GYE852009:GYE852010 HIA852009:HIA852010 HRW852009:HRW852010 IBS852009:IBS852010 ILO852009:ILO852010 IVK852009:IVK852010 JFG852009:JFG852010 JPC852009:JPC852010 JYY852009:JYY852010 KIU852009:KIU852010 KSQ852009:KSQ852010 LCM852009:LCM852010 LMI852009:LMI852010 LWE852009:LWE852010 MGA852009:MGA852010 MPW852009:MPW852010 MZS852009:MZS852010 NJO852009:NJO852010 NTK852009:NTK852010 ODG852009:ODG852010 ONC852009:ONC852010 OWY852009:OWY852010 PGU852009:PGU852010 PQQ852009:PQQ852010 QAM852009:QAM852010 QKI852009:QKI852010 QUE852009:QUE852010 REA852009:REA852010 RNW852009:RNW852010 RXS852009:RXS852010 SHO852009:SHO852010 SRK852009:SRK852010 TBG852009:TBG852010 TLC852009:TLC852010 TUY852009:TUY852010 UEU852009:UEU852010 UOQ852009:UOQ852010 UYM852009:UYM852010 VII852009:VII852010 VSE852009:VSE852010 WCA852009:WCA852010 WLW852009:WLW852010 WVS852009:WVS852010 J917545:J917546 JG917545:JG917546 TC917545:TC917546 ACY917545:ACY917546 AMU917545:AMU917546 AWQ917545:AWQ917546 BGM917545:BGM917546 BQI917545:BQI917546 CAE917545:CAE917546 CKA917545:CKA917546 CTW917545:CTW917546 DDS917545:DDS917546 DNO917545:DNO917546 DXK917545:DXK917546 EHG917545:EHG917546 ERC917545:ERC917546 FAY917545:FAY917546 FKU917545:FKU917546 FUQ917545:FUQ917546 GEM917545:GEM917546 GOI917545:GOI917546 GYE917545:GYE917546 HIA917545:HIA917546 HRW917545:HRW917546 IBS917545:IBS917546 ILO917545:ILO917546 IVK917545:IVK917546 JFG917545:JFG917546 JPC917545:JPC917546 JYY917545:JYY917546 KIU917545:KIU917546 KSQ917545:KSQ917546 LCM917545:LCM917546 LMI917545:LMI917546 LWE917545:LWE917546 MGA917545:MGA917546 MPW917545:MPW917546 MZS917545:MZS917546 NJO917545:NJO917546 NTK917545:NTK917546 ODG917545:ODG917546 ONC917545:ONC917546 OWY917545:OWY917546 PGU917545:PGU917546 PQQ917545:PQQ917546 QAM917545:QAM917546 QKI917545:QKI917546 QUE917545:QUE917546 REA917545:REA917546 RNW917545:RNW917546 RXS917545:RXS917546 SHO917545:SHO917546 SRK917545:SRK917546 TBG917545:TBG917546 TLC917545:TLC917546 TUY917545:TUY917546 UEU917545:UEU917546 UOQ917545:UOQ917546 UYM917545:UYM917546 VII917545:VII917546 VSE917545:VSE917546 WCA917545:WCA917546 WLW917545:WLW917546 WVS917545:WVS917546 J983081:J983082 JG983081:JG983082 TC983081:TC983082 ACY983081:ACY983082 AMU983081:AMU983082 AWQ983081:AWQ983082 BGM983081:BGM983082 BQI983081:BQI983082 CAE983081:CAE983082 CKA983081:CKA983082 CTW983081:CTW983082 DDS983081:DDS983082 DNO983081:DNO983082 DXK983081:DXK983082 EHG983081:EHG983082 ERC983081:ERC983082 FAY983081:FAY983082 FKU983081:FKU983082 FUQ983081:FUQ983082 GEM983081:GEM983082 GOI983081:GOI983082 GYE983081:GYE983082 HIA983081:HIA983082 HRW983081:HRW983082 IBS983081:IBS983082 ILO983081:ILO983082 IVK983081:IVK983082 JFG983081:JFG983082 JPC983081:JPC983082 JYY983081:JYY983082 KIU983081:KIU983082 KSQ983081:KSQ983082 LCM983081:LCM983082 LMI983081:LMI983082 LWE983081:LWE983082 MGA983081:MGA983082 MPW983081:MPW983082 MZS983081:MZS983082 NJO983081:NJO983082 NTK983081:NTK983082 ODG983081:ODG983082 ONC983081:ONC983082 OWY983081:OWY983082 PGU983081:PGU983082 PQQ983081:PQQ983082 QAM983081:QAM983082 QKI983081:QKI983082 QUE983081:QUE983082 REA983081:REA983082 RNW983081:RNW983082 RXS983081:RXS983082 SHO983081:SHO983082 SRK983081:SRK983082 TBG983081:TBG983082 TLC983081:TLC983082 TUY983081:TUY983082 UEU983081:UEU983082 UOQ983081:UOQ983082 UYM983081:UYM983082 VII983081:VII983082 VSE983081:VSE983082 WCA983081:WCA983082 WLW983081:WLW983082 WVS983081:WVS983082 J12:J38 JG12:JG38 TC12:TC38 ACY12:ACY38 AMU12:AMU38 AWQ12:AWQ38 BGM12:BGM38 BQI12:BQI38 CAE12:CAE38 CKA12:CKA38 CTW12:CTW38 DDS12:DDS38 DNO12:DNO38 DXK12:DXK38 EHG12:EHG38 ERC12:ERC38 FAY12:FAY38 FKU12:FKU38 FUQ12:FUQ38 GEM12:GEM38 GOI12:GOI38 GYE12:GYE38 HIA12:HIA38 HRW12:HRW38 IBS12:IBS38 ILO12:ILO38 IVK12:IVK38 JFG12:JFG38 JPC12:JPC38 JYY12:JYY38 KIU12:KIU38 KSQ12:KSQ38 LCM12:LCM38 LMI12:LMI38 LWE12:LWE38 MGA12:MGA38 MPW12:MPW38 MZS12:MZS38 NJO12:NJO38 NTK12:NTK38 ODG12:ODG38 ONC12:ONC38 OWY12:OWY38 PGU12:PGU38 PQQ12:PQQ38 QAM12:QAM38 QKI12:QKI38 QUE12:QUE38 REA12:REA38 RNW12:RNW38 RXS12:RXS38 SHO12:SHO38 SRK12:SRK38 TBG12:TBG38 TLC12:TLC38 TUY12:TUY38 UEU12:UEU38 UOQ12:UOQ38 UYM12:UYM38 VII12:VII38 VSE12:VSE38 WCA12:WCA38 WLW12:WLW38 WVS12:WVS38 J65540:J65566 JG65540:JG65566 TC65540:TC65566 ACY65540:ACY65566 AMU65540:AMU65566 AWQ65540:AWQ65566 BGM65540:BGM65566 BQI65540:BQI65566 CAE65540:CAE65566 CKA65540:CKA65566 CTW65540:CTW65566 DDS65540:DDS65566 DNO65540:DNO65566 DXK65540:DXK65566 EHG65540:EHG65566 ERC65540:ERC65566 FAY65540:FAY65566 FKU65540:FKU65566 FUQ65540:FUQ65566 GEM65540:GEM65566 GOI65540:GOI65566 GYE65540:GYE65566 HIA65540:HIA65566 HRW65540:HRW65566 IBS65540:IBS65566 ILO65540:ILO65566 IVK65540:IVK65566 JFG65540:JFG65566 JPC65540:JPC65566 JYY65540:JYY65566 KIU65540:KIU65566 KSQ65540:KSQ65566 LCM65540:LCM65566 LMI65540:LMI65566 LWE65540:LWE65566 MGA65540:MGA65566 MPW65540:MPW65566 MZS65540:MZS65566 NJO65540:NJO65566 NTK65540:NTK65566 ODG65540:ODG65566 ONC65540:ONC65566 OWY65540:OWY65566 PGU65540:PGU65566 PQQ65540:PQQ65566 QAM65540:QAM65566 QKI65540:QKI65566 QUE65540:QUE65566 REA65540:REA65566 RNW65540:RNW65566 RXS65540:RXS65566 SHO65540:SHO65566 SRK65540:SRK65566 TBG65540:TBG65566 TLC65540:TLC65566 TUY65540:TUY65566 UEU65540:UEU65566 UOQ65540:UOQ65566 UYM65540:UYM65566 VII65540:VII65566 VSE65540:VSE65566 WCA65540:WCA65566 WLW65540:WLW65566 WVS65540:WVS65566 J131076:J131102 JG131076:JG131102 TC131076:TC131102 ACY131076:ACY131102 AMU131076:AMU131102 AWQ131076:AWQ131102 BGM131076:BGM131102 BQI131076:BQI131102 CAE131076:CAE131102 CKA131076:CKA131102 CTW131076:CTW131102 DDS131076:DDS131102 DNO131076:DNO131102 DXK131076:DXK131102 EHG131076:EHG131102 ERC131076:ERC131102 FAY131076:FAY131102 FKU131076:FKU131102 FUQ131076:FUQ131102 GEM131076:GEM131102 GOI131076:GOI131102 GYE131076:GYE131102 HIA131076:HIA131102 HRW131076:HRW131102 IBS131076:IBS131102 ILO131076:ILO131102 IVK131076:IVK131102 JFG131076:JFG131102 JPC131076:JPC131102 JYY131076:JYY131102 KIU131076:KIU131102 KSQ131076:KSQ131102 LCM131076:LCM131102 LMI131076:LMI131102 LWE131076:LWE131102 MGA131076:MGA131102 MPW131076:MPW131102 MZS131076:MZS131102 NJO131076:NJO131102 NTK131076:NTK131102 ODG131076:ODG131102 ONC131076:ONC131102 OWY131076:OWY131102 PGU131076:PGU131102 PQQ131076:PQQ131102 QAM131076:QAM131102 QKI131076:QKI131102 QUE131076:QUE131102 REA131076:REA131102 RNW131076:RNW131102 RXS131076:RXS131102 SHO131076:SHO131102 SRK131076:SRK131102 TBG131076:TBG131102 TLC131076:TLC131102 TUY131076:TUY131102 UEU131076:UEU131102 UOQ131076:UOQ131102 UYM131076:UYM131102 VII131076:VII131102 VSE131076:VSE131102 WCA131076:WCA131102 WLW131076:WLW131102 WVS131076:WVS131102 J196612:J196638 JG196612:JG196638 TC196612:TC196638 ACY196612:ACY196638 AMU196612:AMU196638 AWQ196612:AWQ196638 BGM196612:BGM196638 BQI196612:BQI196638 CAE196612:CAE196638 CKA196612:CKA196638 CTW196612:CTW196638 DDS196612:DDS196638 DNO196612:DNO196638 DXK196612:DXK196638 EHG196612:EHG196638 ERC196612:ERC196638 FAY196612:FAY196638 FKU196612:FKU196638 FUQ196612:FUQ196638 GEM196612:GEM196638 GOI196612:GOI196638 GYE196612:GYE196638 HIA196612:HIA196638 HRW196612:HRW196638 IBS196612:IBS196638 ILO196612:ILO196638 IVK196612:IVK196638 JFG196612:JFG196638 JPC196612:JPC196638 JYY196612:JYY196638 KIU196612:KIU196638 KSQ196612:KSQ196638 LCM196612:LCM196638 LMI196612:LMI196638 LWE196612:LWE196638 MGA196612:MGA196638 MPW196612:MPW196638 MZS196612:MZS196638 NJO196612:NJO196638 NTK196612:NTK196638 ODG196612:ODG196638 ONC196612:ONC196638 OWY196612:OWY196638 PGU196612:PGU196638 PQQ196612:PQQ196638 QAM196612:QAM196638 QKI196612:QKI196638 QUE196612:QUE196638 REA196612:REA196638 RNW196612:RNW196638 RXS196612:RXS196638 SHO196612:SHO196638 SRK196612:SRK196638 TBG196612:TBG196638 TLC196612:TLC196638 TUY196612:TUY196638 UEU196612:UEU196638 UOQ196612:UOQ196638 UYM196612:UYM196638 VII196612:VII196638 VSE196612:VSE196638 WCA196612:WCA196638 WLW196612:WLW196638 WVS196612:WVS196638 J262148:J262174 JG262148:JG262174 TC262148:TC262174 ACY262148:ACY262174 AMU262148:AMU262174 AWQ262148:AWQ262174 BGM262148:BGM262174 BQI262148:BQI262174 CAE262148:CAE262174 CKA262148:CKA262174 CTW262148:CTW262174 DDS262148:DDS262174 DNO262148:DNO262174 DXK262148:DXK262174 EHG262148:EHG262174 ERC262148:ERC262174 FAY262148:FAY262174 FKU262148:FKU262174 FUQ262148:FUQ262174 GEM262148:GEM262174 GOI262148:GOI262174 GYE262148:GYE262174 HIA262148:HIA262174 HRW262148:HRW262174 IBS262148:IBS262174 ILO262148:ILO262174 IVK262148:IVK262174 JFG262148:JFG262174 JPC262148:JPC262174 JYY262148:JYY262174 KIU262148:KIU262174 KSQ262148:KSQ262174 LCM262148:LCM262174 LMI262148:LMI262174 LWE262148:LWE262174 MGA262148:MGA262174 MPW262148:MPW262174 MZS262148:MZS262174 NJO262148:NJO262174 NTK262148:NTK262174 ODG262148:ODG262174 ONC262148:ONC262174 OWY262148:OWY262174 PGU262148:PGU262174 PQQ262148:PQQ262174 QAM262148:QAM262174 QKI262148:QKI262174 QUE262148:QUE262174 REA262148:REA262174 RNW262148:RNW262174 RXS262148:RXS262174 SHO262148:SHO262174 SRK262148:SRK262174 TBG262148:TBG262174 TLC262148:TLC262174 TUY262148:TUY262174 UEU262148:UEU262174 UOQ262148:UOQ262174 UYM262148:UYM262174 VII262148:VII262174 VSE262148:VSE262174 WCA262148:WCA262174 WLW262148:WLW262174 WVS262148:WVS262174 J327684:J327710 JG327684:JG327710 TC327684:TC327710 ACY327684:ACY327710 AMU327684:AMU327710 AWQ327684:AWQ327710 BGM327684:BGM327710 BQI327684:BQI327710 CAE327684:CAE327710 CKA327684:CKA327710 CTW327684:CTW327710 DDS327684:DDS327710 DNO327684:DNO327710 DXK327684:DXK327710 EHG327684:EHG327710 ERC327684:ERC327710 FAY327684:FAY327710 FKU327684:FKU327710 FUQ327684:FUQ327710 GEM327684:GEM327710 GOI327684:GOI327710 GYE327684:GYE327710 HIA327684:HIA327710 HRW327684:HRW327710 IBS327684:IBS327710 ILO327684:ILO327710 IVK327684:IVK327710 JFG327684:JFG327710 JPC327684:JPC327710 JYY327684:JYY327710 KIU327684:KIU327710 KSQ327684:KSQ327710 LCM327684:LCM327710 LMI327684:LMI327710 LWE327684:LWE327710 MGA327684:MGA327710 MPW327684:MPW327710 MZS327684:MZS327710 NJO327684:NJO327710 NTK327684:NTK327710 ODG327684:ODG327710 ONC327684:ONC327710 OWY327684:OWY327710 PGU327684:PGU327710 PQQ327684:PQQ327710 QAM327684:QAM327710 QKI327684:QKI327710 QUE327684:QUE327710 REA327684:REA327710 RNW327684:RNW327710 RXS327684:RXS327710 SHO327684:SHO327710 SRK327684:SRK327710 TBG327684:TBG327710 TLC327684:TLC327710 TUY327684:TUY327710 UEU327684:UEU327710 UOQ327684:UOQ327710 UYM327684:UYM327710 VII327684:VII327710 VSE327684:VSE327710 WCA327684:WCA327710 WLW327684:WLW327710 WVS327684:WVS327710 J393220:J393246 JG393220:JG393246 TC393220:TC393246 ACY393220:ACY393246 AMU393220:AMU393246 AWQ393220:AWQ393246 BGM393220:BGM393246 BQI393220:BQI393246 CAE393220:CAE393246 CKA393220:CKA393246 CTW393220:CTW393246 DDS393220:DDS393246 DNO393220:DNO393246 DXK393220:DXK393246 EHG393220:EHG393246 ERC393220:ERC393246 FAY393220:FAY393246 FKU393220:FKU393246 FUQ393220:FUQ393246 GEM393220:GEM393246 GOI393220:GOI393246 GYE393220:GYE393246 HIA393220:HIA393246 HRW393220:HRW393246 IBS393220:IBS393246 ILO393220:ILO393246 IVK393220:IVK393246 JFG393220:JFG393246 JPC393220:JPC393246 JYY393220:JYY393246 KIU393220:KIU393246 KSQ393220:KSQ393246 LCM393220:LCM393246 LMI393220:LMI393246 LWE393220:LWE393246 MGA393220:MGA393246 MPW393220:MPW393246 MZS393220:MZS393246 NJO393220:NJO393246 NTK393220:NTK393246 ODG393220:ODG393246 ONC393220:ONC393246 OWY393220:OWY393246 PGU393220:PGU393246 PQQ393220:PQQ393246 QAM393220:QAM393246 QKI393220:QKI393246 QUE393220:QUE393246 REA393220:REA393246 RNW393220:RNW393246 RXS393220:RXS393246 SHO393220:SHO393246 SRK393220:SRK393246 TBG393220:TBG393246 TLC393220:TLC393246 TUY393220:TUY393246 UEU393220:UEU393246 UOQ393220:UOQ393246 UYM393220:UYM393246 VII393220:VII393246 VSE393220:VSE393246 WCA393220:WCA393246 WLW393220:WLW393246 WVS393220:WVS393246 J458756:J458782 JG458756:JG458782 TC458756:TC458782 ACY458756:ACY458782 AMU458756:AMU458782 AWQ458756:AWQ458782 BGM458756:BGM458782 BQI458756:BQI458782 CAE458756:CAE458782 CKA458756:CKA458782 CTW458756:CTW458782 DDS458756:DDS458782 DNO458756:DNO458782 DXK458756:DXK458782 EHG458756:EHG458782 ERC458756:ERC458782 FAY458756:FAY458782 FKU458756:FKU458782 FUQ458756:FUQ458782 GEM458756:GEM458782 GOI458756:GOI458782 GYE458756:GYE458782 HIA458756:HIA458782 HRW458756:HRW458782 IBS458756:IBS458782 ILO458756:ILO458782 IVK458756:IVK458782 JFG458756:JFG458782 JPC458756:JPC458782 JYY458756:JYY458782 KIU458756:KIU458782 KSQ458756:KSQ458782 LCM458756:LCM458782 LMI458756:LMI458782 LWE458756:LWE458782 MGA458756:MGA458782 MPW458756:MPW458782 MZS458756:MZS458782 NJO458756:NJO458782 NTK458756:NTK458782 ODG458756:ODG458782 ONC458756:ONC458782 OWY458756:OWY458782 PGU458756:PGU458782 PQQ458756:PQQ458782 QAM458756:QAM458782 QKI458756:QKI458782 QUE458756:QUE458782 REA458756:REA458782 RNW458756:RNW458782 RXS458756:RXS458782 SHO458756:SHO458782 SRK458756:SRK458782 TBG458756:TBG458782 TLC458756:TLC458782 TUY458756:TUY458782 UEU458756:UEU458782 UOQ458756:UOQ458782 UYM458756:UYM458782 VII458756:VII458782 VSE458756:VSE458782 WCA458756:WCA458782 WLW458756:WLW458782 WVS458756:WVS458782 J524292:J524318 JG524292:JG524318 TC524292:TC524318 ACY524292:ACY524318 AMU524292:AMU524318 AWQ524292:AWQ524318 BGM524292:BGM524318 BQI524292:BQI524318 CAE524292:CAE524318 CKA524292:CKA524318 CTW524292:CTW524318 DDS524292:DDS524318 DNO524292:DNO524318 DXK524292:DXK524318 EHG524292:EHG524318 ERC524292:ERC524318 FAY524292:FAY524318 FKU524292:FKU524318 FUQ524292:FUQ524318 GEM524292:GEM524318 GOI524292:GOI524318 GYE524292:GYE524318 HIA524292:HIA524318 HRW524292:HRW524318 IBS524292:IBS524318 ILO524292:ILO524318 IVK524292:IVK524318 JFG524292:JFG524318 JPC524292:JPC524318 JYY524292:JYY524318 KIU524292:KIU524318 KSQ524292:KSQ524318 LCM524292:LCM524318 LMI524292:LMI524318 LWE524292:LWE524318 MGA524292:MGA524318 MPW524292:MPW524318 MZS524292:MZS524318 NJO524292:NJO524318 NTK524292:NTK524318 ODG524292:ODG524318 ONC524292:ONC524318 OWY524292:OWY524318 PGU524292:PGU524318 PQQ524292:PQQ524318 QAM524292:QAM524318 QKI524292:QKI524318 QUE524292:QUE524318 REA524292:REA524318 RNW524292:RNW524318 RXS524292:RXS524318 SHO524292:SHO524318 SRK524292:SRK524318 TBG524292:TBG524318 TLC524292:TLC524318 TUY524292:TUY524318 UEU524292:UEU524318 UOQ524292:UOQ524318 UYM524292:UYM524318 VII524292:VII524318 VSE524292:VSE524318 WCA524292:WCA524318 WLW524292:WLW524318 WVS524292:WVS524318 J589828:J589854 JG589828:JG589854 TC589828:TC589854 ACY589828:ACY589854 AMU589828:AMU589854 AWQ589828:AWQ589854 BGM589828:BGM589854 BQI589828:BQI589854 CAE589828:CAE589854 CKA589828:CKA589854 CTW589828:CTW589854 DDS589828:DDS589854 DNO589828:DNO589854 DXK589828:DXK589854 EHG589828:EHG589854 ERC589828:ERC589854 FAY589828:FAY589854 FKU589828:FKU589854 FUQ589828:FUQ589854 GEM589828:GEM589854 GOI589828:GOI589854 GYE589828:GYE589854 HIA589828:HIA589854 HRW589828:HRW589854 IBS589828:IBS589854 ILO589828:ILO589854 IVK589828:IVK589854 JFG589828:JFG589854 JPC589828:JPC589854 JYY589828:JYY589854 KIU589828:KIU589854 KSQ589828:KSQ589854 LCM589828:LCM589854 LMI589828:LMI589854 LWE589828:LWE589854 MGA589828:MGA589854 MPW589828:MPW589854 MZS589828:MZS589854 NJO589828:NJO589854 NTK589828:NTK589854 ODG589828:ODG589854 ONC589828:ONC589854 OWY589828:OWY589854 PGU589828:PGU589854 PQQ589828:PQQ589854 QAM589828:QAM589854 QKI589828:QKI589854 QUE589828:QUE589854 REA589828:REA589854 RNW589828:RNW589854 RXS589828:RXS589854 SHO589828:SHO589854 SRK589828:SRK589854 TBG589828:TBG589854 TLC589828:TLC589854 TUY589828:TUY589854 UEU589828:UEU589854 UOQ589828:UOQ589854 UYM589828:UYM589854 VII589828:VII589854 VSE589828:VSE589854 WCA589828:WCA589854 WLW589828:WLW589854 WVS589828:WVS589854 J655364:J655390 JG655364:JG655390 TC655364:TC655390 ACY655364:ACY655390 AMU655364:AMU655390 AWQ655364:AWQ655390 BGM655364:BGM655390 BQI655364:BQI655390 CAE655364:CAE655390 CKA655364:CKA655390 CTW655364:CTW655390 DDS655364:DDS655390 DNO655364:DNO655390 DXK655364:DXK655390 EHG655364:EHG655390 ERC655364:ERC655390 FAY655364:FAY655390 FKU655364:FKU655390 FUQ655364:FUQ655390 GEM655364:GEM655390 GOI655364:GOI655390 GYE655364:GYE655390 HIA655364:HIA655390 HRW655364:HRW655390 IBS655364:IBS655390 ILO655364:ILO655390 IVK655364:IVK655390 JFG655364:JFG655390 JPC655364:JPC655390 JYY655364:JYY655390 KIU655364:KIU655390 KSQ655364:KSQ655390 LCM655364:LCM655390 LMI655364:LMI655390 LWE655364:LWE655390 MGA655364:MGA655390 MPW655364:MPW655390 MZS655364:MZS655390 NJO655364:NJO655390 NTK655364:NTK655390 ODG655364:ODG655390 ONC655364:ONC655390 OWY655364:OWY655390 PGU655364:PGU655390 PQQ655364:PQQ655390 QAM655364:QAM655390 QKI655364:QKI655390 QUE655364:QUE655390 REA655364:REA655390 RNW655364:RNW655390 RXS655364:RXS655390 SHO655364:SHO655390 SRK655364:SRK655390 TBG655364:TBG655390 TLC655364:TLC655390 TUY655364:TUY655390 UEU655364:UEU655390 UOQ655364:UOQ655390 UYM655364:UYM655390 VII655364:VII655390 VSE655364:VSE655390 WCA655364:WCA655390 WLW655364:WLW655390 WVS655364:WVS655390 J720900:J720926 JG720900:JG720926 TC720900:TC720926 ACY720900:ACY720926 AMU720900:AMU720926 AWQ720900:AWQ720926 BGM720900:BGM720926 BQI720900:BQI720926 CAE720900:CAE720926 CKA720900:CKA720926 CTW720900:CTW720926 DDS720900:DDS720926 DNO720900:DNO720926 DXK720900:DXK720926 EHG720900:EHG720926 ERC720900:ERC720926 FAY720900:FAY720926 FKU720900:FKU720926 FUQ720900:FUQ720926 GEM720900:GEM720926 GOI720900:GOI720926 GYE720900:GYE720926 HIA720900:HIA720926 HRW720900:HRW720926 IBS720900:IBS720926 ILO720900:ILO720926 IVK720900:IVK720926 JFG720900:JFG720926 JPC720900:JPC720926 JYY720900:JYY720926 KIU720900:KIU720926 KSQ720900:KSQ720926 LCM720900:LCM720926 LMI720900:LMI720926 LWE720900:LWE720926 MGA720900:MGA720926 MPW720900:MPW720926 MZS720900:MZS720926 NJO720900:NJO720926 NTK720900:NTK720926 ODG720900:ODG720926 ONC720900:ONC720926 OWY720900:OWY720926 PGU720900:PGU720926 PQQ720900:PQQ720926 QAM720900:QAM720926 QKI720900:QKI720926 QUE720900:QUE720926 REA720900:REA720926 RNW720900:RNW720926 RXS720900:RXS720926 SHO720900:SHO720926 SRK720900:SRK720926 TBG720900:TBG720926 TLC720900:TLC720926 TUY720900:TUY720926 UEU720900:UEU720926 UOQ720900:UOQ720926 UYM720900:UYM720926 VII720900:VII720926 VSE720900:VSE720926 WCA720900:WCA720926 WLW720900:WLW720926 WVS720900:WVS720926 J786436:J786462 JG786436:JG786462 TC786436:TC786462 ACY786436:ACY786462 AMU786436:AMU786462 AWQ786436:AWQ786462 BGM786436:BGM786462 BQI786436:BQI786462 CAE786436:CAE786462 CKA786436:CKA786462 CTW786436:CTW786462 DDS786436:DDS786462 DNO786436:DNO786462 DXK786436:DXK786462 EHG786436:EHG786462 ERC786436:ERC786462 FAY786436:FAY786462 FKU786436:FKU786462 FUQ786436:FUQ786462 GEM786436:GEM786462 GOI786436:GOI786462 GYE786436:GYE786462 HIA786436:HIA786462 HRW786436:HRW786462 IBS786436:IBS786462 ILO786436:ILO786462 IVK786436:IVK786462 JFG786436:JFG786462 JPC786436:JPC786462 JYY786436:JYY786462 KIU786436:KIU786462 KSQ786436:KSQ786462 LCM786436:LCM786462 LMI786436:LMI786462 LWE786436:LWE786462 MGA786436:MGA786462 MPW786436:MPW786462 MZS786436:MZS786462 NJO786436:NJO786462 NTK786436:NTK786462 ODG786436:ODG786462 ONC786436:ONC786462 OWY786436:OWY786462 PGU786436:PGU786462 PQQ786436:PQQ786462 QAM786436:QAM786462 QKI786436:QKI786462 QUE786436:QUE786462 REA786436:REA786462 RNW786436:RNW786462 RXS786436:RXS786462 SHO786436:SHO786462 SRK786436:SRK786462 TBG786436:TBG786462 TLC786436:TLC786462 TUY786436:TUY786462 UEU786436:UEU786462 UOQ786436:UOQ786462 UYM786436:UYM786462 VII786436:VII786462 VSE786436:VSE786462 WCA786436:WCA786462 WLW786436:WLW786462 WVS786436:WVS786462 J851972:J851998 JG851972:JG851998 TC851972:TC851998 ACY851972:ACY851998 AMU851972:AMU851998 AWQ851972:AWQ851998 BGM851972:BGM851998 BQI851972:BQI851998 CAE851972:CAE851998 CKA851972:CKA851998 CTW851972:CTW851998 DDS851972:DDS851998 DNO851972:DNO851998 DXK851972:DXK851998 EHG851972:EHG851998 ERC851972:ERC851998 FAY851972:FAY851998 FKU851972:FKU851998 FUQ851972:FUQ851998 GEM851972:GEM851998 GOI851972:GOI851998 GYE851972:GYE851998 HIA851972:HIA851998 HRW851972:HRW851998 IBS851972:IBS851998 ILO851972:ILO851998 IVK851972:IVK851998 JFG851972:JFG851998 JPC851972:JPC851998 JYY851972:JYY851998 KIU851972:KIU851998 KSQ851972:KSQ851998 LCM851972:LCM851998 LMI851972:LMI851998 LWE851972:LWE851998 MGA851972:MGA851998 MPW851972:MPW851998 MZS851972:MZS851998 NJO851972:NJO851998 NTK851972:NTK851998 ODG851972:ODG851998 ONC851972:ONC851998 OWY851972:OWY851998 PGU851972:PGU851998 PQQ851972:PQQ851998 QAM851972:QAM851998 QKI851972:QKI851998 QUE851972:QUE851998 REA851972:REA851998 RNW851972:RNW851998 RXS851972:RXS851998 SHO851972:SHO851998 SRK851972:SRK851998 TBG851972:TBG851998 TLC851972:TLC851998 TUY851972:TUY851998 UEU851972:UEU851998 UOQ851972:UOQ851998 UYM851972:UYM851998 VII851972:VII851998 VSE851972:VSE851998 WCA851972:WCA851998 WLW851972:WLW851998 WVS851972:WVS851998 J917508:J917534 JG917508:JG917534 TC917508:TC917534 ACY917508:ACY917534 AMU917508:AMU917534 AWQ917508:AWQ917534 BGM917508:BGM917534 BQI917508:BQI917534 CAE917508:CAE917534 CKA917508:CKA917534 CTW917508:CTW917534 DDS917508:DDS917534 DNO917508:DNO917534 DXK917508:DXK917534 EHG917508:EHG917534 ERC917508:ERC917534 FAY917508:FAY917534 FKU917508:FKU917534 FUQ917508:FUQ917534 GEM917508:GEM917534 GOI917508:GOI917534 GYE917508:GYE917534 HIA917508:HIA917534 HRW917508:HRW917534 IBS917508:IBS917534 ILO917508:ILO917534 IVK917508:IVK917534 JFG917508:JFG917534 JPC917508:JPC917534 JYY917508:JYY917534 KIU917508:KIU917534 KSQ917508:KSQ917534 LCM917508:LCM917534 LMI917508:LMI917534 LWE917508:LWE917534 MGA917508:MGA917534 MPW917508:MPW917534 MZS917508:MZS917534 NJO917508:NJO917534 NTK917508:NTK917534 ODG917508:ODG917534 ONC917508:ONC917534 OWY917508:OWY917534 PGU917508:PGU917534 PQQ917508:PQQ917534 QAM917508:QAM917534 QKI917508:QKI917534 QUE917508:QUE917534 REA917508:REA917534 RNW917508:RNW917534 RXS917508:RXS917534 SHO917508:SHO917534 SRK917508:SRK917534 TBG917508:TBG917534 TLC917508:TLC917534 TUY917508:TUY917534 UEU917508:UEU917534 UOQ917508:UOQ917534 UYM917508:UYM917534 VII917508:VII917534 VSE917508:VSE917534 WCA917508:WCA917534 WLW917508:WLW917534 WVS917508:WVS917534 J983044:J983070 JG983044:JG983070 TC983044:TC983070 ACY983044:ACY983070 AMU983044:AMU983070 AWQ983044:AWQ983070 BGM983044:BGM983070 BQI983044:BQI983070 CAE983044:CAE983070 CKA983044:CKA983070 CTW983044:CTW983070 DDS983044:DDS983070 DNO983044:DNO983070 DXK983044:DXK983070 EHG983044:EHG983070 ERC983044:ERC983070 FAY983044:FAY983070 FKU983044:FKU983070 FUQ983044:FUQ983070 GEM983044:GEM983070 GOI983044:GOI983070 GYE983044:GYE983070 HIA983044:HIA983070 HRW983044:HRW983070 IBS983044:IBS983070 ILO983044:ILO983070 IVK983044:IVK983070 JFG983044:JFG983070 JPC983044:JPC983070 JYY983044:JYY983070 KIU983044:KIU983070 KSQ983044:KSQ983070 LCM983044:LCM983070 LMI983044:LMI983070 LWE983044:LWE983070 MGA983044:MGA983070 MPW983044:MPW983070 MZS983044:MZS983070 NJO983044:NJO983070 NTK983044:NTK983070 ODG983044:ODG983070 ONC983044:ONC983070 OWY983044:OWY983070 PGU983044:PGU983070 PQQ983044:PQQ983070 QAM983044:QAM983070 QKI983044:QKI983070 QUE983044:QUE983070 REA983044:REA983070 RNW983044:RNW983070 RXS983044:RXS983070 SHO983044:SHO983070 SRK983044:SRK983070 TBG983044:TBG983070 TLC983044:TLC983070 TUY983044:TUY983070 UEU983044:UEU983070 UOQ983044:UOQ983070 UYM983044:UYM983070 VII983044:VII983070 VSE983044:VSE983070 WCA983044:WCA983070 WLW983044:WLW983070 WVS983044:WVS983070" xr:uid="{E3CA5A2C-E770-5A4F-BFB3-B28A70EBDCBD}">
      <formula1>MODALIDAD_DE_CONTRATACIÓN</formula1>
    </dataValidation>
    <dataValidation type="list" allowBlank="1" showInputMessage="1" showErrorMessage="1" sqref="I12:I33 JF12:JF33 TB12:TB33 ACX12:ACX33 AMT12:AMT33 AWP12:AWP33 BGL12:BGL33 BQH12:BQH33 CAD12:CAD33 CJZ12:CJZ33 CTV12:CTV33 DDR12:DDR33 DNN12:DNN33 DXJ12:DXJ33 EHF12:EHF33 ERB12:ERB33 FAX12:FAX33 FKT12:FKT33 FUP12:FUP33 GEL12:GEL33 GOH12:GOH33 GYD12:GYD33 HHZ12:HHZ33 HRV12:HRV33 IBR12:IBR33 ILN12:ILN33 IVJ12:IVJ33 JFF12:JFF33 JPB12:JPB33 JYX12:JYX33 KIT12:KIT33 KSP12:KSP33 LCL12:LCL33 LMH12:LMH33 LWD12:LWD33 MFZ12:MFZ33 MPV12:MPV33 MZR12:MZR33 NJN12:NJN33 NTJ12:NTJ33 ODF12:ODF33 ONB12:ONB33 OWX12:OWX33 PGT12:PGT33 PQP12:PQP33 QAL12:QAL33 QKH12:QKH33 QUD12:QUD33 RDZ12:RDZ33 RNV12:RNV33 RXR12:RXR33 SHN12:SHN33 SRJ12:SRJ33 TBF12:TBF33 TLB12:TLB33 TUX12:TUX33 UET12:UET33 UOP12:UOP33 UYL12:UYL33 VIH12:VIH33 VSD12:VSD33 WBZ12:WBZ33 WLV12:WLV33 WVR12:WVR33 I65540:I65561 JF65540:JF65561 TB65540:TB65561 ACX65540:ACX65561 AMT65540:AMT65561 AWP65540:AWP65561 BGL65540:BGL65561 BQH65540:BQH65561 CAD65540:CAD65561 CJZ65540:CJZ65561 CTV65540:CTV65561 DDR65540:DDR65561 DNN65540:DNN65561 DXJ65540:DXJ65561 EHF65540:EHF65561 ERB65540:ERB65561 FAX65540:FAX65561 FKT65540:FKT65561 FUP65540:FUP65561 GEL65540:GEL65561 GOH65540:GOH65561 GYD65540:GYD65561 HHZ65540:HHZ65561 HRV65540:HRV65561 IBR65540:IBR65561 ILN65540:ILN65561 IVJ65540:IVJ65561 JFF65540:JFF65561 JPB65540:JPB65561 JYX65540:JYX65561 KIT65540:KIT65561 KSP65540:KSP65561 LCL65540:LCL65561 LMH65540:LMH65561 LWD65540:LWD65561 MFZ65540:MFZ65561 MPV65540:MPV65561 MZR65540:MZR65561 NJN65540:NJN65561 NTJ65540:NTJ65561 ODF65540:ODF65561 ONB65540:ONB65561 OWX65540:OWX65561 PGT65540:PGT65561 PQP65540:PQP65561 QAL65540:QAL65561 QKH65540:QKH65561 QUD65540:QUD65561 RDZ65540:RDZ65561 RNV65540:RNV65561 RXR65540:RXR65561 SHN65540:SHN65561 SRJ65540:SRJ65561 TBF65540:TBF65561 TLB65540:TLB65561 TUX65540:TUX65561 UET65540:UET65561 UOP65540:UOP65561 UYL65540:UYL65561 VIH65540:VIH65561 VSD65540:VSD65561 WBZ65540:WBZ65561 WLV65540:WLV65561 WVR65540:WVR65561 I131076:I131097 JF131076:JF131097 TB131076:TB131097 ACX131076:ACX131097 AMT131076:AMT131097 AWP131076:AWP131097 BGL131076:BGL131097 BQH131076:BQH131097 CAD131076:CAD131097 CJZ131076:CJZ131097 CTV131076:CTV131097 DDR131076:DDR131097 DNN131076:DNN131097 DXJ131076:DXJ131097 EHF131076:EHF131097 ERB131076:ERB131097 FAX131076:FAX131097 FKT131076:FKT131097 FUP131076:FUP131097 GEL131076:GEL131097 GOH131076:GOH131097 GYD131076:GYD131097 HHZ131076:HHZ131097 HRV131076:HRV131097 IBR131076:IBR131097 ILN131076:ILN131097 IVJ131076:IVJ131097 JFF131076:JFF131097 JPB131076:JPB131097 JYX131076:JYX131097 KIT131076:KIT131097 KSP131076:KSP131097 LCL131076:LCL131097 LMH131076:LMH131097 LWD131076:LWD131097 MFZ131076:MFZ131097 MPV131076:MPV131097 MZR131076:MZR131097 NJN131076:NJN131097 NTJ131076:NTJ131097 ODF131076:ODF131097 ONB131076:ONB131097 OWX131076:OWX131097 PGT131076:PGT131097 PQP131076:PQP131097 QAL131076:QAL131097 QKH131076:QKH131097 QUD131076:QUD131097 RDZ131076:RDZ131097 RNV131076:RNV131097 RXR131076:RXR131097 SHN131076:SHN131097 SRJ131076:SRJ131097 TBF131076:TBF131097 TLB131076:TLB131097 TUX131076:TUX131097 UET131076:UET131097 UOP131076:UOP131097 UYL131076:UYL131097 VIH131076:VIH131097 VSD131076:VSD131097 WBZ131076:WBZ131097 WLV131076:WLV131097 WVR131076:WVR131097 I196612:I196633 JF196612:JF196633 TB196612:TB196633 ACX196612:ACX196633 AMT196612:AMT196633 AWP196612:AWP196633 BGL196612:BGL196633 BQH196612:BQH196633 CAD196612:CAD196633 CJZ196612:CJZ196633 CTV196612:CTV196633 DDR196612:DDR196633 DNN196612:DNN196633 DXJ196612:DXJ196633 EHF196612:EHF196633 ERB196612:ERB196633 FAX196612:FAX196633 FKT196612:FKT196633 FUP196612:FUP196633 GEL196612:GEL196633 GOH196612:GOH196633 GYD196612:GYD196633 HHZ196612:HHZ196633 HRV196612:HRV196633 IBR196612:IBR196633 ILN196612:ILN196633 IVJ196612:IVJ196633 JFF196612:JFF196633 JPB196612:JPB196633 JYX196612:JYX196633 KIT196612:KIT196633 KSP196612:KSP196633 LCL196612:LCL196633 LMH196612:LMH196633 LWD196612:LWD196633 MFZ196612:MFZ196633 MPV196612:MPV196633 MZR196612:MZR196633 NJN196612:NJN196633 NTJ196612:NTJ196633 ODF196612:ODF196633 ONB196612:ONB196633 OWX196612:OWX196633 PGT196612:PGT196633 PQP196612:PQP196633 QAL196612:QAL196633 QKH196612:QKH196633 QUD196612:QUD196633 RDZ196612:RDZ196633 RNV196612:RNV196633 RXR196612:RXR196633 SHN196612:SHN196633 SRJ196612:SRJ196633 TBF196612:TBF196633 TLB196612:TLB196633 TUX196612:TUX196633 UET196612:UET196633 UOP196612:UOP196633 UYL196612:UYL196633 VIH196612:VIH196633 VSD196612:VSD196633 WBZ196612:WBZ196633 WLV196612:WLV196633 WVR196612:WVR196633 I262148:I262169 JF262148:JF262169 TB262148:TB262169 ACX262148:ACX262169 AMT262148:AMT262169 AWP262148:AWP262169 BGL262148:BGL262169 BQH262148:BQH262169 CAD262148:CAD262169 CJZ262148:CJZ262169 CTV262148:CTV262169 DDR262148:DDR262169 DNN262148:DNN262169 DXJ262148:DXJ262169 EHF262148:EHF262169 ERB262148:ERB262169 FAX262148:FAX262169 FKT262148:FKT262169 FUP262148:FUP262169 GEL262148:GEL262169 GOH262148:GOH262169 GYD262148:GYD262169 HHZ262148:HHZ262169 HRV262148:HRV262169 IBR262148:IBR262169 ILN262148:ILN262169 IVJ262148:IVJ262169 JFF262148:JFF262169 JPB262148:JPB262169 JYX262148:JYX262169 KIT262148:KIT262169 KSP262148:KSP262169 LCL262148:LCL262169 LMH262148:LMH262169 LWD262148:LWD262169 MFZ262148:MFZ262169 MPV262148:MPV262169 MZR262148:MZR262169 NJN262148:NJN262169 NTJ262148:NTJ262169 ODF262148:ODF262169 ONB262148:ONB262169 OWX262148:OWX262169 PGT262148:PGT262169 PQP262148:PQP262169 QAL262148:QAL262169 QKH262148:QKH262169 QUD262148:QUD262169 RDZ262148:RDZ262169 RNV262148:RNV262169 RXR262148:RXR262169 SHN262148:SHN262169 SRJ262148:SRJ262169 TBF262148:TBF262169 TLB262148:TLB262169 TUX262148:TUX262169 UET262148:UET262169 UOP262148:UOP262169 UYL262148:UYL262169 VIH262148:VIH262169 VSD262148:VSD262169 WBZ262148:WBZ262169 WLV262148:WLV262169 WVR262148:WVR262169 I327684:I327705 JF327684:JF327705 TB327684:TB327705 ACX327684:ACX327705 AMT327684:AMT327705 AWP327684:AWP327705 BGL327684:BGL327705 BQH327684:BQH327705 CAD327684:CAD327705 CJZ327684:CJZ327705 CTV327684:CTV327705 DDR327684:DDR327705 DNN327684:DNN327705 DXJ327684:DXJ327705 EHF327684:EHF327705 ERB327684:ERB327705 FAX327684:FAX327705 FKT327684:FKT327705 FUP327684:FUP327705 GEL327684:GEL327705 GOH327684:GOH327705 GYD327684:GYD327705 HHZ327684:HHZ327705 HRV327684:HRV327705 IBR327684:IBR327705 ILN327684:ILN327705 IVJ327684:IVJ327705 JFF327684:JFF327705 JPB327684:JPB327705 JYX327684:JYX327705 KIT327684:KIT327705 KSP327684:KSP327705 LCL327684:LCL327705 LMH327684:LMH327705 LWD327684:LWD327705 MFZ327684:MFZ327705 MPV327684:MPV327705 MZR327684:MZR327705 NJN327684:NJN327705 NTJ327684:NTJ327705 ODF327684:ODF327705 ONB327684:ONB327705 OWX327684:OWX327705 PGT327684:PGT327705 PQP327684:PQP327705 QAL327684:QAL327705 QKH327684:QKH327705 QUD327684:QUD327705 RDZ327684:RDZ327705 RNV327684:RNV327705 RXR327684:RXR327705 SHN327684:SHN327705 SRJ327684:SRJ327705 TBF327684:TBF327705 TLB327684:TLB327705 TUX327684:TUX327705 UET327684:UET327705 UOP327684:UOP327705 UYL327684:UYL327705 VIH327684:VIH327705 VSD327684:VSD327705 WBZ327684:WBZ327705 WLV327684:WLV327705 WVR327684:WVR327705 I393220:I393241 JF393220:JF393241 TB393220:TB393241 ACX393220:ACX393241 AMT393220:AMT393241 AWP393220:AWP393241 BGL393220:BGL393241 BQH393220:BQH393241 CAD393220:CAD393241 CJZ393220:CJZ393241 CTV393220:CTV393241 DDR393220:DDR393241 DNN393220:DNN393241 DXJ393220:DXJ393241 EHF393220:EHF393241 ERB393220:ERB393241 FAX393220:FAX393241 FKT393220:FKT393241 FUP393220:FUP393241 GEL393220:GEL393241 GOH393220:GOH393241 GYD393220:GYD393241 HHZ393220:HHZ393241 HRV393220:HRV393241 IBR393220:IBR393241 ILN393220:ILN393241 IVJ393220:IVJ393241 JFF393220:JFF393241 JPB393220:JPB393241 JYX393220:JYX393241 KIT393220:KIT393241 KSP393220:KSP393241 LCL393220:LCL393241 LMH393220:LMH393241 LWD393220:LWD393241 MFZ393220:MFZ393241 MPV393220:MPV393241 MZR393220:MZR393241 NJN393220:NJN393241 NTJ393220:NTJ393241 ODF393220:ODF393241 ONB393220:ONB393241 OWX393220:OWX393241 PGT393220:PGT393241 PQP393220:PQP393241 QAL393220:QAL393241 QKH393220:QKH393241 QUD393220:QUD393241 RDZ393220:RDZ393241 RNV393220:RNV393241 RXR393220:RXR393241 SHN393220:SHN393241 SRJ393220:SRJ393241 TBF393220:TBF393241 TLB393220:TLB393241 TUX393220:TUX393241 UET393220:UET393241 UOP393220:UOP393241 UYL393220:UYL393241 VIH393220:VIH393241 VSD393220:VSD393241 WBZ393220:WBZ393241 WLV393220:WLV393241 WVR393220:WVR393241 I458756:I458777 JF458756:JF458777 TB458756:TB458777 ACX458756:ACX458777 AMT458756:AMT458777 AWP458756:AWP458777 BGL458756:BGL458777 BQH458756:BQH458777 CAD458756:CAD458777 CJZ458756:CJZ458777 CTV458756:CTV458777 DDR458756:DDR458777 DNN458756:DNN458777 DXJ458756:DXJ458777 EHF458756:EHF458777 ERB458756:ERB458777 FAX458756:FAX458777 FKT458756:FKT458777 FUP458756:FUP458777 GEL458756:GEL458777 GOH458756:GOH458777 GYD458756:GYD458777 HHZ458756:HHZ458777 HRV458756:HRV458777 IBR458756:IBR458777 ILN458756:ILN458777 IVJ458756:IVJ458777 JFF458756:JFF458777 JPB458756:JPB458777 JYX458756:JYX458777 KIT458756:KIT458777 KSP458756:KSP458777 LCL458756:LCL458777 LMH458756:LMH458777 LWD458756:LWD458777 MFZ458756:MFZ458777 MPV458756:MPV458777 MZR458756:MZR458777 NJN458756:NJN458777 NTJ458756:NTJ458777 ODF458756:ODF458777 ONB458756:ONB458777 OWX458756:OWX458777 PGT458756:PGT458777 PQP458756:PQP458777 QAL458756:QAL458777 QKH458756:QKH458777 QUD458756:QUD458777 RDZ458756:RDZ458777 RNV458756:RNV458777 RXR458756:RXR458777 SHN458756:SHN458777 SRJ458756:SRJ458777 TBF458756:TBF458777 TLB458756:TLB458777 TUX458756:TUX458777 UET458756:UET458777 UOP458756:UOP458777 UYL458756:UYL458777 VIH458756:VIH458777 VSD458756:VSD458777 WBZ458756:WBZ458777 WLV458756:WLV458777 WVR458756:WVR458777 I524292:I524313 JF524292:JF524313 TB524292:TB524313 ACX524292:ACX524313 AMT524292:AMT524313 AWP524292:AWP524313 BGL524292:BGL524313 BQH524292:BQH524313 CAD524292:CAD524313 CJZ524292:CJZ524313 CTV524292:CTV524313 DDR524292:DDR524313 DNN524292:DNN524313 DXJ524292:DXJ524313 EHF524292:EHF524313 ERB524292:ERB524313 FAX524292:FAX524313 FKT524292:FKT524313 FUP524292:FUP524313 GEL524292:GEL524313 GOH524292:GOH524313 GYD524292:GYD524313 HHZ524292:HHZ524313 HRV524292:HRV524313 IBR524292:IBR524313 ILN524292:ILN524313 IVJ524292:IVJ524313 JFF524292:JFF524313 JPB524292:JPB524313 JYX524292:JYX524313 KIT524292:KIT524313 KSP524292:KSP524313 LCL524292:LCL524313 LMH524292:LMH524313 LWD524292:LWD524313 MFZ524292:MFZ524313 MPV524292:MPV524313 MZR524292:MZR524313 NJN524292:NJN524313 NTJ524292:NTJ524313 ODF524292:ODF524313 ONB524292:ONB524313 OWX524292:OWX524313 PGT524292:PGT524313 PQP524292:PQP524313 QAL524292:QAL524313 QKH524292:QKH524313 QUD524292:QUD524313 RDZ524292:RDZ524313 RNV524292:RNV524313 RXR524292:RXR524313 SHN524292:SHN524313 SRJ524292:SRJ524313 TBF524292:TBF524313 TLB524292:TLB524313 TUX524292:TUX524313 UET524292:UET524313 UOP524292:UOP524313 UYL524292:UYL524313 VIH524292:VIH524313 VSD524292:VSD524313 WBZ524292:WBZ524313 WLV524292:WLV524313 WVR524292:WVR524313 I589828:I589849 JF589828:JF589849 TB589828:TB589849 ACX589828:ACX589849 AMT589828:AMT589849 AWP589828:AWP589849 BGL589828:BGL589849 BQH589828:BQH589849 CAD589828:CAD589849 CJZ589828:CJZ589849 CTV589828:CTV589849 DDR589828:DDR589849 DNN589828:DNN589849 DXJ589828:DXJ589849 EHF589828:EHF589849 ERB589828:ERB589849 FAX589828:FAX589849 FKT589828:FKT589849 FUP589828:FUP589849 GEL589828:GEL589849 GOH589828:GOH589849 GYD589828:GYD589849 HHZ589828:HHZ589849 HRV589828:HRV589849 IBR589828:IBR589849 ILN589828:ILN589849 IVJ589828:IVJ589849 JFF589828:JFF589849 JPB589828:JPB589849 JYX589828:JYX589849 KIT589828:KIT589849 KSP589828:KSP589849 LCL589828:LCL589849 LMH589828:LMH589849 LWD589828:LWD589849 MFZ589828:MFZ589849 MPV589828:MPV589849 MZR589828:MZR589849 NJN589828:NJN589849 NTJ589828:NTJ589849 ODF589828:ODF589849 ONB589828:ONB589849 OWX589828:OWX589849 PGT589828:PGT589849 PQP589828:PQP589849 QAL589828:QAL589849 QKH589828:QKH589849 QUD589828:QUD589849 RDZ589828:RDZ589849 RNV589828:RNV589849 RXR589828:RXR589849 SHN589828:SHN589849 SRJ589828:SRJ589849 TBF589828:TBF589849 TLB589828:TLB589849 TUX589828:TUX589849 UET589828:UET589849 UOP589828:UOP589849 UYL589828:UYL589849 VIH589828:VIH589849 VSD589828:VSD589849 WBZ589828:WBZ589849 WLV589828:WLV589849 WVR589828:WVR589849 I655364:I655385 JF655364:JF655385 TB655364:TB655385 ACX655364:ACX655385 AMT655364:AMT655385 AWP655364:AWP655385 BGL655364:BGL655385 BQH655364:BQH655385 CAD655364:CAD655385 CJZ655364:CJZ655385 CTV655364:CTV655385 DDR655364:DDR655385 DNN655364:DNN655385 DXJ655364:DXJ655385 EHF655364:EHF655385 ERB655364:ERB655385 FAX655364:FAX655385 FKT655364:FKT655385 FUP655364:FUP655385 GEL655364:GEL655385 GOH655364:GOH655385 GYD655364:GYD655385 HHZ655364:HHZ655385 HRV655364:HRV655385 IBR655364:IBR655385 ILN655364:ILN655385 IVJ655364:IVJ655385 JFF655364:JFF655385 JPB655364:JPB655385 JYX655364:JYX655385 KIT655364:KIT655385 KSP655364:KSP655385 LCL655364:LCL655385 LMH655364:LMH655385 LWD655364:LWD655385 MFZ655364:MFZ655385 MPV655364:MPV655385 MZR655364:MZR655385 NJN655364:NJN655385 NTJ655364:NTJ655385 ODF655364:ODF655385 ONB655364:ONB655385 OWX655364:OWX655385 PGT655364:PGT655385 PQP655364:PQP655385 QAL655364:QAL655385 QKH655364:QKH655385 QUD655364:QUD655385 RDZ655364:RDZ655385 RNV655364:RNV655385 RXR655364:RXR655385 SHN655364:SHN655385 SRJ655364:SRJ655385 TBF655364:TBF655385 TLB655364:TLB655385 TUX655364:TUX655385 UET655364:UET655385 UOP655364:UOP655385 UYL655364:UYL655385 VIH655364:VIH655385 VSD655364:VSD655385 WBZ655364:WBZ655385 WLV655364:WLV655385 WVR655364:WVR655385 I720900:I720921 JF720900:JF720921 TB720900:TB720921 ACX720900:ACX720921 AMT720900:AMT720921 AWP720900:AWP720921 BGL720900:BGL720921 BQH720900:BQH720921 CAD720900:CAD720921 CJZ720900:CJZ720921 CTV720900:CTV720921 DDR720900:DDR720921 DNN720900:DNN720921 DXJ720900:DXJ720921 EHF720900:EHF720921 ERB720900:ERB720921 FAX720900:FAX720921 FKT720900:FKT720921 FUP720900:FUP720921 GEL720900:GEL720921 GOH720900:GOH720921 GYD720900:GYD720921 HHZ720900:HHZ720921 HRV720900:HRV720921 IBR720900:IBR720921 ILN720900:ILN720921 IVJ720900:IVJ720921 JFF720900:JFF720921 JPB720900:JPB720921 JYX720900:JYX720921 KIT720900:KIT720921 KSP720900:KSP720921 LCL720900:LCL720921 LMH720900:LMH720921 LWD720900:LWD720921 MFZ720900:MFZ720921 MPV720900:MPV720921 MZR720900:MZR720921 NJN720900:NJN720921 NTJ720900:NTJ720921 ODF720900:ODF720921 ONB720900:ONB720921 OWX720900:OWX720921 PGT720900:PGT720921 PQP720900:PQP720921 QAL720900:QAL720921 QKH720900:QKH720921 QUD720900:QUD720921 RDZ720900:RDZ720921 RNV720900:RNV720921 RXR720900:RXR720921 SHN720900:SHN720921 SRJ720900:SRJ720921 TBF720900:TBF720921 TLB720900:TLB720921 TUX720900:TUX720921 UET720900:UET720921 UOP720900:UOP720921 UYL720900:UYL720921 VIH720900:VIH720921 VSD720900:VSD720921 WBZ720900:WBZ720921 WLV720900:WLV720921 WVR720900:WVR720921 I786436:I786457 JF786436:JF786457 TB786436:TB786457 ACX786436:ACX786457 AMT786436:AMT786457 AWP786436:AWP786457 BGL786436:BGL786457 BQH786436:BQH786457 CAD786436:CAD786457 CJZ786436:CJZ786457 CTV786436:CTV786457 DDR786436:DDR786457 DNN786436:DNN786457 DXJ786436:DXJ786457 EHF786436:EHF786457 ERB786436:ERB786457 FAX786436:FAX786457 FKT786436:FKT786457 FUP786436:FUP786457 GEL786436:GEL786457 GOH786436:GOH786457 GYD786436:GYD786457 HHZ786436:HHZ786457 HRV786436:HRV786457 IBR786436:IBR786457 ILN786436:ILN786457 IVJ786436:IVJ786457 JFF786436:JFF786457 JPB786436:JPB786457 JYX786436:JYX786457 KIT786436:KIT786457 KSP786436:KSP786457 LCL786436:LCL786457 LMH786436:LMH786457 LWD786436:LWD786457 MFZ786436:MFZ786457 MPV786436:MPV786457 MZR786436:MZR786457 NJN786436:NJN786457 NTJ786436:NTJ786457 ODF786436:ODF786457 ONB786436:ONB786457 OWX786436:OWX786457 PGT786436:PGT786457 PQP786436:PQP786457 QAL786436:QAL786457 QKH786436:QKH786457 QUD786436:QUD786457 RDZ786436:RDZ786457 RNV786436:RNV786457 RXR786436:RXR786457 SHN786436:SHN786457 SRJ786436:SRJ786457 TBF786436:TBF786457 TLB786436:TLB786457 TUX786436:TUX786457 UET786436:UET786457 UOP786436:UOP786457 UYL786436:UYL786457 VIH786436:VIH786457 VSD786436:VSD786457 WBZ786436:WBZ786457 WLV786436:WLV786457 WVR786436:WVR786457 I851972:I851993 JF851972:JF851993 TB851972:TB851993 ACX851972:ACX851993 AMT851972:AMT851993 AWP851972:AWP851993 BGL851972:BGL851993 BQH851972:BQH851993 CAD851972:CAD851993 CJZ851972:CJZ851993 CTV851972:CTV851993 DDR851972:DDR851993 DNN851972:DNN851993 DXJ851972:DXJ851993 EHF851972:EHF851993 ERB851972:ERB851993 FAX851972:FAX851993 FKT851972:FKT851993 FUP851972:FUP851993 GEL851972:GEL851993 GOH851972:GOH851993 GYD851972:GYD851993 HHZ851972:HHZ851993 HRV851972:HRV851993 IBR851972:IBR851993 ILN851972:ILN851993 IVJ851972:IVJ851993 JFF851972:JFF851993 JPB851972:JPB851993 JYX851972:JYX851993 KIT851972:KIT851993 KSP851972:KSP851993 LCL851972:LCL851993 LMH851972:LMH851993 LWD851972:LWD851993 MFZ851972:MFZ851993 MPV851972:MPV851993 MZR851972:MZR851993 NJN851972:NJN851993 NTJ851972:NTJ851993 ODF851972:ODF851993 ONB851972:ONB851993 OWX851972:OWX851993 PGT851972:PGT851993 PQP851972:PQP851993 QAL851972:QAL851993 QKH851972:QKH851993 QUD851972:QUD851993 RDZ851972:RDZ851993 RNV851972:RNV851993 RXR851972:RXR851993 SHN851972:SHN851993 SRJ851972:SRJ851993 TBF851972:TBF851993 TLB851972:TLB851993 TUX851972:TUX851993 UET851972:UET851993 UOP851972:UOP851993 UYL851972:UYL851993 VIH851972:VIH851993 VSD851972:VSD851993 WBZ851972:WBZ851993 WLV851972:WLV851993 WVR851972:WVR851993 I917508:I917529 JF917508:JF917529 TB917508:TB917529 ACX917508:ACX917529 AMT917508:AMT917529 AWP917508:AWP917529 BGL917508:BGL917529 BQH917508:BQH917529 CAD917508:CAD917529 CJZ917508:CJZ917529 CTV917508:CTV917529 DDR917508:DDR917529 DNN917508:DNN917529 DXJ917508:DXJ917529 EHF917508:EHF917529 ERB917508:ERB917529 FAX917508:FAX917529 FKT917508:FKT917529 FUP917508:FUP917529 GEL917508:GEL917529 GOH917508:GOH917529 GYD917508:GYD917529 HHZ917508:HHZ917529 HRV917508:HRV917529 IBR917508:IBR917529 ILN917508:ILN917529 IVJ917508:IVJ917529 JFF917508:JFF917529 JPB917508:JPB917529 JYX917508:JYX917529 KIT917508:KIT917529 KSP917508:KSP917529 LCL917508:LCL917529 LMH917508:LMH917529 LWD917508:LWD917529 MFZ917508:MFZ917529 MPV917508:MPV917529 MZR917508:MZR917529 NJN917508:NJN917529 NTJ917508:NTJ917529 ODF917508:ODF917529 ONB917508:ONB917529 OWX917508:OWX917529 PGT917508:PGT917529 PQP917508:PQP917529 QAL917508:QAL917529 QKH917508:QKH917529 QUD917508:QUD917529 RDZ917508:RDZ917529 RNV917508:RNV917529 RXR917508:RXR917529 SHN917508:SHN917529 SRJ917508:SRJ917529 TBF917508:TBF917529 TLB917508:TLB917529 TUX917508:TUX917529 UET917508:UET917529 UOP917508:UOP917529 UYL917508:UYL917529 VIH917508:VIH917529 VSD917508:VSD917529 WBZ917508:WBZ917529 WLV917508:WLV917529 WVR917508:WVR917529 I983044:I983065 JF983044:JF983065 TB983044:TB983065 ACX983044:ACX983065 AMT983044:AMT983065 AWP983044:AWP983065 BGL983044:BGL983065 BQH983044:BQH983065 CAD983044:CAD983065 CJZ983044:CJZ983065 CTV983044:CTV983065 DDR983044:DDR983065 DNN983044:DNN983065 DXJ983044:DXJ983065 EHF983044:EHF983065 ERB983044:ERB983065 FAX983044:FAX983065 FKT983044:FKT983065 FUP983044:FUP983065 GEL983044:GEL983065 GOH983044:GOH983065 GYD983044:GYD983065 HHZ983044:HHZ983065 HRV983044:HRV983065 IBR983044:IBR983065 ILN983044:ILN983065 IVJ983044:IVJ983065 JFF983044:JFF983065 JPB983044:JPB983065 JYX983044:JYX983065 KIT983044:KIT983065 KSP983044:KSP983065 LCL983044:LCL983065 LMH983044:LMH983065 LWD983044:LWD983065 MFZ983044:MFZ983065 MPV983044:MPV983065 MZR983044:MZR983065 NJN983044:NJN983065 NTJ983044:NTJ983065 ODF983044:ODF983065 ONB983044:ONB983065 OWX983044:OWX983065 PGT983044:PGT983065 PQP983044:PQP983065 QAL983044:QAL983065 QKH983044:QKH983065 QUD983044:QUD983065 RDZ983044:RDZ983065 RNV983044:RNV983065 RXR983044:RXR983065 SHN983044:SHN983065 SRJ983044:SRJ983065 TBF983044:TBF983065 TLB983044:TLB983065 TUX983044:TUX983065 UET983044:UET983065 UOP983044:UOP983065 UYL983044:UYL983065 VIH983044:VIH983065 VSD983044:VSD983065 WBZ983044:WBZ983065 WLV983044:WLV983065 WVR983044:WVR983065 I69 JF69 TB69 ACX69 AMT69 AWP69 BGL69 BQH69 CAD69 CJZ69 CTV69 DDR69 DNN69 DXJ69 EHF69 ERB69 FAX69 FKT69 FUP69 GEL69 GOH69 GYD69 HHZ69 HRV69 IBR69 ILN69 IVJ69 JFF69 JPB69 JYX69 KIT69 KSP69 LCL69 LMH69 LWD69 MFZ69 MPV69 MZR69 NJN69 NTJ69 ODF69 ONB69 OWX69 PGT69 PQP69 QAL69 QKH69 QUD69 RDZ69 RNV69 RXR69 SHN69 SRJ69 TBF69 TLB69 TUX69 UET69 UOP69 UYL69 VIH69 VSD69 WBZ69 WLV69 WVR69 I65597 JF65597 TB65597 ACX65597 AMT65597 AWP65597 BGL65597 BQH65597 CAD65597 CJZ65597 CTV65597 DDR65597 DNN65597 DXJ65597 EHF65597 ERB65597 FAX65597 FKT65597 FUP65597 GEL65597 GOH65597 GYD65597 HHZ65597 HRV65597 IBR65597 ILN65597 IVJ65597 JFF65597 JPB65597 JYX65597 KIT65597 KSP65597 LCL65597 LMH65597 LWD65597 MFZ65597 MPV65597 MZR65597 NJN65597 NTJ65597 ODF65597 ONB65597 OWX65597 PGT65597 PQP65597 QAL65597 QKH65597 QUD65597 RDZ65597 RNV65597 RXR65597 SHN65597 SRJ65597 TBF65597 TLB65597 TUX65597 UET65597 UOP65597 UYL65597 VIH65597 VSD65597 WBZ65597 WLV65597 WVR65597 I131133 JF131133 TB131133 ACX131133 AMT131133 AWP131133 BGL131133 BQH131133 CAD131133 CJZ131133 CTV131133 DDR131133 DNN131133 DXJ131133 EHF131133 ERB131133 FAX131133 FKT131133 FUP131133 GEL131133 GOH131133 GYD131133 HHZ131133 HRV131133 IBR131133 ILN131133 IVJ131133 JFF131133 JPB131133 JYX131133 KIT131133 KSP131133 LCL131133 LMH131133 LWD131133 MFZ131133 MPV131133 MZR131133 NJN131133 NTJ131133 ODF131133 ONB131133 OWX131133 PGT131133 PQP131133 QAL131133 QKH131133 QUD131133 RDZ131133 RNV131133 RXR131133 SHN131133 SRJ131133 TBF131133 TLB131133 TUX131133 UET131133 UOP131133 UYL131133 VIH131133 VSD131133 WBZ131133 WLV131133 WVR131133 I196669 JF196669 TB196669 ACX196669 AMT196669 AWP196669 BGL196669 BQH196669 CAD196669 CJZ196669 CTV196669 DDR196669 DNN196669 DXJ196669 EHF196669 ERB196669 FAX196669 FKT196669 FUP196669 GEL196669 GOH196669 GYD196669 HHZ196669 HRV196669 IBR196669 ILN196669 IVJ196669 JFF196669 JPB196669 JYX196669 KIT196669 KSP196669 LCL196669 LMH196669 LWD196669 MFZ196669 MPV196669 MZR196669 NJN196669 NTJ196669 ODF196669 ONB196669 OWX196669 PGT196669 PQP196669 QAL196669 QKH196669 QUD196669 RDZ196669 RNV196669 RXR196669 SHN196669 SRJ196669 TBF196669 TLB196669 TUX196669 UET196669 UOP196669 UYL196669 VIH196669 VSD196669 WBZ196669 WLV196669 WVR196669 I262205 JF262205 TB262205 ACX262205 AMT262205 AWP262205 BGL262205 BQH262205 CAD262205 CJZ262205 CTV262205 DDR262205 DNN262205 DXJ262205 EHF262205 ERB262205 FAX262205 FKT262205 FUP262205 GEL262205 GOH262205 GYD262205 HHZ262205 HRV262205 IBR262205 ILN262205 IVJ262205 JFF262205 JPB262205 JYX262205 KIT262205 KSP262205 LCL262205 LMH262205 LWD262205 MFZ262205 MPV262205 MZR262205 NJN262205 NTJ262205 ODF262205 ONB262205 OWX262205 PGT262205 PQP262205 QAL262205 QKH262205 QUD262205 RDZ262205 RNV262205 RXR262205 SHN262205 SRJ262205 TBF262205 TLB262205 TUX262205 UET262205 UOP262205 UYL262205 VIH262205 VSD262205 WBZ262205 WLV262205 WVR262205 I327741 JF327741 TB327741 ACX327741 AMT327741 AWP327741 BGL327741 BQH327741 CAD327741 CJZ327741 CTV327741 DDR327741 DNN327741 DXJ327741 EHF327741 ERB327741 FAX327741 FKT327741 FUP327741 GEL327741 GOH327741 GYD327741 HHZ327741 HRV327741 IBR327741 ILN327741 IVJ327741 JFF327741 JPB327741 JYX327741 KIT327741 KSP327741 LCL327741 LMH327741 LWD327741 MFZ327741 MPV327741 MZR327741 NJN327741 NTJ327741 ODF327741 ONB327741 OWX327741 PGT327741 PQP327741 QAL327741 QKH327741 QUD327741 RDZ327741 RNV327741 RXR327741 SHN327741 SRJ327741 TBF327741 TLB327741 TUX327741 UET327741 UOP327741 UYL327741 VIH327741 VSD327741 WBZ327741 WLV327741 WVR327741 I393277 JF393277 TB393277 ACX393277 AMT393277 AWP393277 BGL393277 BQH393277 CAD393277 CJZ393277 CTV393277 DDR393277 DNN393277 DXJ393277 EHF393277 ERB393277 FAX393277 FKT393277 FUP393277 GEL393277 GOH393277 GYD393277 HHZ393277 HRV393277 IBR393277 ILN393277 IVJ393277 JFF393277 JPB393277 JYX393277 KIT393277 KSP393277 LCL393277 LMH393277 LWD393277 MFZ393277 MPV393277 MZR393277 NJN393277 NTJ393277 ODF393277 ONB393277 OWX393277 PGT393277 PQP393277 QAL393277 QKH393277 QUD393277 RDZ393277 RNV393277 RXR393277 SHN393277 SRJ393277 TBF393277 TLB393277 TUX393277 UET393277 UOP393277 UYL393277 VIH393277 VSD393277 WBZ393277 WLV393277 WVR393277 I458813 JF458813 TB458813 ACX458813 AMT458813 AWP458813 BGL458813 BQH458813 CAD458813 CJZ458813 CTV458813 DDR458813 DNN458813 DXJ458813 EHF458813 ERB458813 FAX458813 FKT458813 FUP458813 GEL458813 GOH458813 GYD458813 HHZ458813 HRV458813 IBR458813 ILN458813 IVJ458813 JFF458813 JPB458813 JYX458813 KIT458813 KSP458813 LCL458813 LMH458813 LWD458813 MFZ458813 MPV458813 MZR458813 NJN458813 NTJ458813 ODF458813 ONB458813 OWX458813 PGT458813 PQP458813 QAL458813 QKH458813 QUD458813 RDZ458813 RNV458813 RXR458813 SHN458813 SRJ458813 TBF458813 TLB458813 TUX458813 UET458813 UOP458813 UYL458813 VIH458813 VSD458813 WBZ458813 WLV458813 WVR458813 I524349 JF524349 TB524349 ACX524349 AMT524349 AWP524349 BGL524349 BQH524349 CAD524349 CJZ524349 CTV524349 DDR524349 DNN524349 DXJ524349 EHF524349 ERB524349 FAX524349 FKT524349 FUP524349 GEL524349 GOH524349 GYD524349 HHZ524349 HRV524349 IBR524349 ILN524349 IVJ524349 JFF524349 JPB524349 JYX524349 KIT524349 KSP524349 LCL524349 LMH524349 LWD524349 MFZ524349 MPV524349 MZR524349 NJN524349 NTJ524349 ODF524349 ONB524349 OWX524349 PGT524349 PQP524349 QAL524349 QKH524349 QUD524349 RDZ524349 RNV524349 RXR524349 SHN524349 SRJ524349 TBF524349 TLB524349 TUX524349 UET524349 UOP524349 UYL524349 VIH524349 VSD524349 WBZ524349 WLV524349 WVR524349 I589885 JF589885 TB589885 ACX589885 AMT589885 AWP589885 BGL589885 BQH589885 CAD589885 CJZ589885 CTV589885 DDR589885 DNN589885 DXJ589885 EHF589885 ERB589885 FAX589885 FKT589885 FUP589885 GEL589885 GOH589885 GYD589885 HHZ589885 HRV589885 IBR589885 ILN589885 IVJ589885 JFF589885 JPB589885 JYX589885 KIT589885 KSP589885 LCL589885 LMH589885 LWD589885 MFZ589885 MPV589885 MZR589885 NJN589885 NTJ589885 ODF589885 ONB589885 OWX589885 PGT589885 PQP589885 QAL589885 QKH589885 QUD589885 RDZ589885 RNV589885 RXR589885 SHN589885 SRJ589885 TBF589885 TLB589885 TUX589885 UET589885 UOP589885 UYL589885 VIH589885 VSD589885 WBZ589885 WLV589885 WVR589885 I655421 JF655421 TB655421 ACX655421 AMT655421 AWP655421 BGL655421 BQH655421 CAD655421 CJZ655421 CTV655421 DDR655421 DNN655421 DXJ655421 EHF655421 ERB655421 FAX655421 FKT655421 FUP655421 GEL655421 GOH655421 GYD655421 HHZ655421 HRV655421 IBR655421 ILN655421 IVJ655421 JFF655421 JPB655421 JYX655421 KIT655421 KSP655421 LCL655421 LMH655421 LWD655421 MFZ655421 MPV655421 MZR655421 NJN655421 NTJ655421 ODF655421 ONB655421 OWX655421 PGT655421 PQP655421 QAL655421 QKH655421 QUD655421 RDZ655421 RNV655421 RXR655421 SHN655421 SRJ655421 TBF655421 TLB655421 TUX655421 UET655421 UOP655421 UYL655421 VIH655421 VSD655421 WBZ655421 WLV655421 WVR655421 I720957 JF720957 TB720957 ACX720957 AMT720957 AWP720957 BGL720957 BQH720957 CAD720957 CJZ720957 CTV720957 DDR720957 DNN720957 DXJ720957 EHF720957 ERB720957 FAX720957 FKT720957 FUP720957 GEL720957 GOH720957 GYD720957 HHZ720957 HRV720957 IBR720957 ILN720957 IVJ720957 JFF720957 JPB720957 JYX720957 KIT720957 KSP720957 LCL720957 LMH720957 LWD720957 MFZ720957 MPV720957 MZR720957 NJN720957 NTJ720957 ODF720957 ONB720957 OWX720957 PGT720957 PQP720957 QAL720957 QKH720957 QUD720957 RDZ720957 RNV720957 RXR720957 SHN720957 SRJ720957 TBF720957 TLB720957 TUX720957 UET720957 UOP720957 UYL720957 VIH720957 VSD720957 WBZ720957 WLV720957 WVR720957 I786493 JF786493 TB786493 ACX786493 AMT786493 AWP786493 BGL786493 BQH786493 CAD786493 CJZ786493 CTV786493 DDR786493 DNN786493 DXJ786493 EHF786493 ERB786493 FAX786493 FKT786493 FUP786493 GEL786493 GOH786493 GYD786493 HHZ786493 HRV786493 IBR786493 ILN786493 IVJ786493 JFF786493 JPB786493 JYX786493 KIT786493 KSP786493 LCL786493 LMH786493 LWD786493 MFZ786493 MPV786493 MZR786493 NJN786493 NTJ786493 ODF786493 ONB786493 OWX786493 PGT786493 PQP786493 QAL786493 QKH786493 QUD786493 RDZ786493 RNV786493 RXR786493 SHN786493 SRJ786493 TBF786493 TLB786493 TUX786493 UET786493 UOP786493 UYL786493 VIH786493 VSD786493 WBZ786493 WLV786493 WVR786493 I852029 JF852029 TB852029 ACX852029 AMT852029 AWP852029 BGL852029 BQH852029 CAD852029 CJZ852029 CTV852029 DDR852029 DNN852029 DXJ852029 EHF852029 ERB852029 FAX852029 FKT852029 FUP852029 GEL852029 GOH852029 GYD852029 HHZ852029 HRV852029 IBR852029 ILN852029 IVJ852029 JFF852029 JPB852029 JYX852029 KIT852029 KSP852029 LCL852029 LMH852029 LWD852029 MFZ852029 MPV852029 MZR852029 NJN852029 NTJ852029 ODF852029 ONB852029 OWX852029 PGT852029 PQP852029 QAL852029 QKH852029 QUD852029 RDZ852029 RNV852029 RXR852029 SHN852029 SRJ852029 TBF852029 TLB852029 TUX852029 UET852029 UOP852029 UYL852029 VIH852029 VSD852029 WBZ852029 WLV852029 WVR852029 I917565 JF917565 TB917565 ACX917565 AMT917565 AWP917565 BGL917565 BQH917565 CAD917565 CJZ917565 CTV917565 DDR917565 DNN917565 DXJ917565 EHF917565 ERB917565 FAX917565 FKT917565 FUP917565 GEL917565 GOH917565 GYD917565 HHZ917565 HRV917565 IBR917565 ILN917565 IVJ917565 JFF917565 JPB917565 JYX917565 KIT917565 KSP917565 LCL917565 LMH917565 LWD917565 MFZ917565 MPV917565 MZR917565 NJN917565 NTJ917565 ODF917565 ONB917565 OWX917565 PGT917565 PQP917565 QAL917565 QKH917565 QUD917565 RDZ917565 RNV917565 RXR917565 SHN917565 SRJ917565 TBF917565 TLB917565 TUX917565 UET917565 UOP917565 UYL917565 VIH917565 VSD917565 WBZ917565 WLV917565 WVR917565 I983101 JF983101 TB983101 ACX983101 AMT983101 AWP983101 BGL983101 BQH983101 CAD983101 CJZ983101 CTV983101 DDR983101 DNN983101 DXJ983101 EHF983101 ERB983101 FAX983101 FKT983101 FUP983101 GEL983101 GOH983101 GYD983101 HHZ983101 HRV983101 IBR983101 ILN983101 IVJ983101 JFF983101 JPB983101 JYX983101 KIT983101 KSP983101 LCL983101 LMH983101 LWD983101 MFZ983101 MPV983101 MZR983101 NJN983101 NTJ983101 ODF983101 ONB983101 OWX983101 PGT983101 PQP983101 QAL983101 QKH983101 QUD983101 RDZ983101 RNV983101 RXR983101 SHN983101 SRJ983101 TBF983101 TLB983101 TUX983101 UET983101 UOP983101 UYL983101 VIH983101 VSD983101 WBZ983101 WLV983101 WVR983101" xr:uid="{4D17E3A8-7B4A-9141-83FB-6CE02FDF4A4B}">
      <formula1>(DÍAS)</formula1>
    </dataValidation>
    <dataValidation type="list" allowBlank="1" showInputMessage="1" showErrorMessage="1" sqref="JE12:JE33 TA12:TA33 ACW12:ACW33 AMS12:AMS33 AWO12:AWO33 BGK12:BGK33 BQG12:BQG33 CAC12:CAC33 CJY12:CJY33 CTU12:CTU33 DDQ12:DDQ33 DNM12:DNM33 DXI12:DXI33 EHE12:EHE33 ERA12:ERA33 FAW12:FAW33 FKS12:FKS33 FUO12:FUO33 GEK12:GEK33 GOG12:GOG33 GYC12:GYC33 HHY12:HHY33 HRU12:HRU33 IBQ12:IBQ33 ILM12:ILM33 IVI12:IVI33 JFE12:JFE33 JPA12:JPA33 JYW12:JYW33 KIS12:KIS33 KSO12:KSO33 LCK12:LCK33 LMG12:LMG33 LWC12:LWC33 MFY12:MFY33 MPU12:MPU33 MZQ12:MZQ33 NJM12:NJM33 NTI12:NTI33 ODE12:ODE33 ONA12:ONA33 OWW12:OWW33 PGS12:PGS33 PQO12:PQO33 QAK12:QAK33 QKG12:QKG33 QUC12:QUC33 RDY12:RDY33 RNU12:RNU33 RXQ12:RXQ33 SHM12:SHM33 SRI12:SRI33 TBE12:TBE33 TLA12:TLA33 TUW12:TUW33 UES12:UES33 UOO12:UOO33 UYK12:UYK33 VIG12:VIG33 VSC12:VSC33 WBY12:WBY33 WLU12:WLU33 WVQ12:WVQ33 H65540:H65561 JE65540:JE65561 TA65540:TA65561 ACW65540:ACW65561 AMS65540:AMS65561 AWO65540:AWO65561 BGK65540:BGK65561 BQG65540:BQG65561 CAC65540:CAC65561 CJY65540:CJY65561 CTU65540:CTU65561 DDQ65540:DDQ65561 DNM65540:DNM65561 DXI65540:DXI65561 EHE65540:EHE65561 ERA65540:ERA65561 FAW65540:FAW65561 FKS65540:FKS65561 FUO65540:FUO65561 GEK65540:GEK65561 GOG65540:GOG65561 GYC65540:GYC65561 HHY65540:HHY65561 HRU65540:HRU65561 IBQ65540:IBQ65561 ILM65540:ILM65561 IVI65540:IVI65561 JFE65540:JFE65561 JPA65540:JPA65561 JYW65540:JYW65561 KIS65540:KIS65561 KSO65540:KSO65561 LCK65540:LCK65561 LMG65540:LMG65561 LWC65540:LWC65561 MFY65540:MFY65561 MPU65540:MPU65561 MZQ65540:MZQ65561 NJM65540:NJM65561 NTI65540:NTI65561 ODE65540:ODE65561 ONA65540:ONA65561 OWW65540:OWW65561 PGS65540:PGS65561 PQO65540:PQO65561 QAK65540:QAK65561 QKG65540:QKG65561 QUC65540:QUC65561 RDY65540:RDY65561 RNU65540:RNU65561 RXQ65540:RXQ65561 SHM65540:SHM65561 SRI65540:SRI65561 TBE65540:TBE65561 TLA65540:TLA65561 TUW65540:TUW65561 UES65540:UES65561 UOO65540:UOO65561 UYK65540:UYK65561 VIG65540:VIG65561 VSC65540:VSC65561 WBY65540:WBY65561 WLU65540:WLU65561 WVQ65540:WVQ65561 H131076:H131097 JE131076:JE131097 TA131076:TA131097 ACW131076:ACW131097 AMS131076:AMS131097 AWO131076:AWO131097 BGK131076:BGK131097 BQG131076:BQG131097 CAC131076:CAC131097 CJY131076:CJY131097 CTU131076:CTU131097 DDQ131076:DDQ131097 DNM131076:DNM131097 DXI131076:DXI131097 EHE131076:EHE131097 ERA131076:ERA131097 FAW131076:FAW131097 FKS131076:FKS131097 FUO131076:FUO131097 GEK131076:GEK131097 GOG131076:GOG131097 GYC131076:GYC131097 HHY131076:HHY131097 HRU131076:HRU131097 IBQ131076:IBQ131097 ILM131076:ILM131097 IVI131076:IVI131097 JFE131076:JFE131097 JPA131076:JPA131097 JYW131076:JYW131097 KIS131076:KIS131097 KSO131076:KSO131097 LCK131076:LCK131097 LMG131076:LMG131097 LWC131076:LWC131097 MFY131076:MFY131097 MPU131076:MPU131097 MZQ131076:MZQ131097 NJM131076:NJM131097 NTI131076:NTI131097 ODE131076:ODE131097 ONA131076:ONA131097 OWW131076:OWW131097 PGS131076:PGS131097 PQO131076:PQO131097 QAK131076:QAK131097 QKG131076:QKG131097 QUC131076:QUC131097 RDY131076:RDY131097 RNU131076:RNU131097 RXQ131076:RXQ131097 SHM131076:SHM131097 SRI131076:SRI131097 TBE131076:TBE131097 TLA131076:TLA131097 TUW131076:TUW131097 UES131076:UES131097 UOO131076:UOO131097 UYK131076:UYK131097 VIG131076:VIG131097 VSC131076:VSC131097 WBY131076:WBY131097 WLU131076:WLU131097 WVQ131076:WVQ131097 H196612:H196633 JE196612:JE196633 TA196612:TA196633 ACW196612:ACW196633 AMS196612:AMS196633 AWO196612:AWO196633 BGK196612:BGK196633 BQG196612:BQG196633 CAC196612:CAC196633 CJY196612:CJY196633 CTU196612:CTU196633 DDQ196612:DDQ196633 DNM196612:DNM196633 DXI196612:DXI196633 EHE196612:EHE196633 ERA196612:ERA196633 FAW196612:FAW196633 FKS196612:FKS196633 FUO196612:FUO196633 GEK196612:GEK196633 GOG196612:GOG196633 GYC196612:GYC196633 HHY196612:HHY196633 HRU196612:HRU196633 IBQ196612:IBQ196633 ILM196612:ILM196633 IVI196612:IVI196633 JFE196612:JFE196633 JPA196612:JPA196633 JYW196612:JYW196633 KIS196612:KIS196633 KSO196612:KSO196633 LCK196612:LCK196633 LMG196612:LMG196633 LWC196612:LWC196633 MFY196612:MFY196633 MPU196612:MPU196633 MZQ196612:MZQ196633 NJM196612:NJM196633 NTI196612:NTI196633 ODE196612:ODE196633 ONA196612:ONA196633 OWW196612:OWW196633 PGS196612:PGS196633 PQO196612:PQO196633 QAK196612:QAK196633 QKG196612:QKG196633 QUC196612:QUC196633 RDY196612:RDY196633 RNU196612:RNU196633 RXQ196612:RXQ196633 SHM196612:SHM196633 SRI196612:SRI196633 TBE196612:TBE196633 TLA196612:TLA196633 TUW196612:TUW196633 UES196612:UES196633 UOO196612:UOO196633 UYK196612:UYK196633 VIG196612:VIG196633 VSC196612:VSC196633 WBY196612:WBY196633 WLU196612:WLU196633 WVQ196612:WVQ196633 H262148:H262169 JE262148:JE262169 TA262148:TA262169 ACW262148:ACW262169 AMS262148:AMS262169 AWO262148:AWO262169 BGK262148:BGK262169 BQG262148:BQG262169 CAC262148:CAC262169 CJY262148:CJY262169 CTU262148:CTU262169 DDQ262148:DDQ262169 DNM262148:DNM262169 DXI262148:DXI262169 EHE262148:EHE262169 ERA262148:ERA262169 FAW262148:FAW262169 FKS262148:FKS262169 FUO262148:FUO262169 GEK262148:GEK262169 GOG262148:GOG262169 GYC262148:GYC262169 HHY262148:HHY262169 HRU262148:HRU262169 IBQ262148:IBQ262169 ILM262148:ILM262169 IVI262148:IVI262169 JFE262148:JFE262169 JPA262148:JPA262169 JYW262148:JYW262169 KIS262148:KIS262169 KSO262148:KSO262169 LCK262148:LCK262169 LMG262148:LMG262169 LWC262148:LWC262169 MFY262148:MFY262169 MPU262148:MPU262169 MZQ262148:MZQ262169 NJM262148:NJM262169 NTI262148:NTI262169 ODE262148:ODE262169 ONA262148:ONA262169 OWW262148:OWW262169 PGS262148:PGS262169 PQO262148:PQO262169 QAK262148:QAK262169 QKG262148:QKG262169 QUC262148:QUC262169 RDY262148:RDY262169 RNU262148:RNU262169 RXQ262148:RXQ262169 SHM262148:SHM262169 SRI262148:SRI262169 TBE262148:TBE262169 TLA262148:TLA262169 TUW262148:TUW262169 UES262148:UES262169 UOO262148:UOO262169 UYK262148:UYK262169 VIG262148:VIG262169 VSC262148:VSC262169 WBY262148:WBY262169 WLU262148:WLU262169 WVQ262148:WVQ262169 H327684:H327705 JE327684:JE327705 TA327684:TA327705 ACW327684:ACW327705 AMS327684:AMS327705 AWO327684:AWO327705 BGK327684:BGK327705 BQG327684:BQG327705 CAC327684:CAC327705 CJY327684:CJY327705 CTU327684:CTU327705 DDQ327684:DDQ327705 DNM327684:DNM327705 DXI327684:DXI327705 EHE327684:EHE327705 ERA327684:ERA327705 FAW327684:FAW327705 FKS327684:FKS327705 FUO327684:FUO327705 GEK327684:GEK327705 GOG327684:GOG327705 GYC327684:GYC327705 HHY327684:HHY327705 HRU327684:HRU327705 IBQ327684:IBQ327705 ILM327684:ILM327705 IVI327684:IVI327705 JFE327684:JFE327705 JPA327684:JPA327705 JYW327684:JYW327705 KIS327684:KIS327705 KSO327684:KSO327705 LCK327684:LCK327705 LMG327684:LMG327705 LWC327684:LWC327705 MFY327684:MFY327705 MPU327684:MPU327705 MZQ327684:MZQ327705 NJM327684:NJM327705 NTI327684:NTI327705 ODE327684:ODE327705 ONA327684:ONA327705 OWW327684:OWW327705 PGS327684:PGS327705 PQO327684:PQO327705 QAK327684:QAK327705 QKG327684:QKG327705 QUC327684:QUC327705 RDY327684:RDY327705 RNU327684:RNU327705 RXQ327684:RXQ327705 SHM327684:SHM327705 SRI327684:SRI327705 TBE327684:TBE327705 TLA327684:TLA327705 TUW327684:TUW327705 UES327684:UES327705 UOO327684:UOO327705 UYK327684:UYK327705 VIG327684:VIG327705 VSC327684:VSC327705 WBY327684:WBY327705 WLU327684:WLU327705 WVQ327684:WVQ327705 H393220:H393241 JE393220:JE393241 TA393220:TA393241 ACW393220:ACW393241 AMS393220:AMS393241 AWO393220:AWO393241 BGK393220:BGK393241 BQG393220:BQG393241 CAC393220:CAC393241 CJY393220:CJY393241 CTU393220:CTU393241 DDQ393220:DDQ393241 DNM393220:DNM393241 DXI393220:DXI393241 EHE393220:EHE393241 ERA393220:ERA393241 FAW393220:FAW393241 FKS393220:FKS393241 FUO393220:FUO393241 GEK393220:GEK393241 GOG393220:GOG393241 GYC393220:GYC393241 HHY393220:HHY393241 HRU393220:HRU393241 IBQ393220:IBQ393241 ILM393220:ILM393241 IVI393220:IVI393241 JFE393220:JFE393241 JPA393220:JPA393241 JYW393220:JYW393241 KIS393220:KIS393241 KSO393220:KSO393241 LCK393220:LCK393241 LMG393220:LMG393241 LWC393220:LWC393241 MFY393220:MFY393241 MPU393220:MPU393241 MZQ393220:MZQ393241 NJM393220:NJM393241 NTI393220:NTI393241 ODE393220:ODE393241 ONA393220:ONA393241 OWW393220:OWW393241 PGS393220:PGS393241 PQO393220:PQO393241 QAK393220:QAK393241 QKG393220:QKG393241 QUC393220:QUC393241 RDY393220:RDY393241 RNU393220:RNU393241 RXQ393220:RXQ393241 SHM393220:SHM393241 SRI393220:SRI393241 TBE393220:TBE393241 TLA393220:TLA393241 TUW393220:TUW393241 UES393220:UES393241 UOO393220:UOO393241 UYK393220:UYK393241 VIG393220:VIG393241 VSC393220:VSC393241 WBY393220:WBY393241 WLU393220:WLU393241 WVQ393220:WVQ393241 H458756:H458777 JE458756:JE458777 TA458756:TA458777 ACW458756:ACW458777 AMS458756:AMS458777 AWO458756:AWO458777 BGK458756:BGK458777 BQG458756:BQG458777 CAC458756:CAC458777 CJY458756:CJY458777 CTU458756:CTU458777 DDQ458756:DDQ458777 DNM458756:DNM458777 DXI458756:DXI458777 EHE458756:EHE458777 ERA458756:ERA458777 FAW458756:FAW458777 FKS458756:FKS458777 FUO458756:FUO458777 GEK458756:GEK458777 GOG458756:GOG458777 GYC458756:GYC458777 HHY458756:HHY458777 HRU458756:HRU458777 IBQ458756:IBQ458777 ILM458756:ILM458777 IVI458756:IVI458777 JFE458756:JFE458777 JPA458756:JPA458777 JYW458756:JYW458777 KIS458756:KIS458777 KSO458756:KSO458777 LCK458756:LCK458777 LMG458756:LMG458777 LWC458756:LWC458777 MFY458756:MFY458777 MPU458756:MPU458777 MZQ458756:MZQ458777 NJM458756:NJM458777 NTI458756:NTI458777 ODE458756:ODE458777 ONA458756:ONA458777 OWW458756:OWW458777 PGS458756:PGS458777 PQO458756:PQO458777 QAK458756:QAK458777 QKG458756:QKG458777 QUC458756:QUC458777 RDY458756:RDY458777 RNU458756:RNU458777 RXQ458756:RXQ458777 SHM458756:SHM458777 SRI458756:SRI458777 TBE458756:TBE458777 TLA458756:TLA458777 TUW458756:TUW458777 UES458756:UES458777 UOO458756:UOO458777 UYK458756:UYK458777 VIG458756:VIG458777 VSC458756:VSC458777 WBY458756:WBY458777 WLU458756:WLU458777 WVQ458756:WVQ458777 H524292:H524313 JE524292:JE524313 TA524292:TA524313 ACW524292:ACW524313 AMS524292:AMS524313 AWO524292:AWO524313 BGK524292:BGK524313 BQG524292:BQG524313 CAC524292:CAC524313 CJY524292:CJY524313 CTU524292:CTU524313 DDQ524292:DDQ524313 DNM524292:DNM524313 DXI524292:DXI524313 EHE524292:EHE524313 ERA524292:ERA524313 FAW524292:FAW524313 FKS524292:FKS524313 FUO524292:FUO524313 GEK524292:GEK524313 GOG524292:GOG524313 GYC524292:GYC524313 HHY524292:HHY524313 HRU524292:HRU524313 IBQ524292:IBQ524313 ILM524292:ILM524313 IVI524292:IVI524313 JFE524292:JFE524313 JPA524292:JPA524313 JYW524292:JYW524313 KIS524292:KIS524313 KSO524292:KSO524313 LCK524292:LCK524313 LMG524292:LMG524313 LWC524292:LWC524313 MFY524292:MFY524313 MPU524292:MPU524313 MZQ524292:MZQ524313 NJM524292:NJM524313 NTI524292:NTI524313 ODE524292:ODE524313 ONA524292:ONA524313 OWW524292:OWW524313 PGS524292:PGS524313 PQO524292:PQO524313 QAK524292:QAK524313 QKG524292:QKG524313 QUC524292:QUC524313 RDY524292:RDY524313 RNU524292:RNU524313 RXQ524292:RXQ524313 SHM524292:SHM524313 SRI524292:SRI524313 TBE524292:TBE524313 TLA524292:TLA524313 TUW524292:TUW524313 UES524292:UES524313 UOO524292:UOO524313 UYK524292:UYK524313 VIG524292:VIG524313 VSC524292:VSC524313 WBY524292:WBY524313 WLU524292:WLU524313 WVQ524292:WVQ524313 H589828:H589849 JE589828:JE589849 TA589828:TA589849 ACW589828:ACW589849 AMS589828:AMS589849 AWO589828:AWO589849 BGK589828:BGK589849 BQG589828:BQG589849 CAC589828:CAC589849 CJY589828:CJY589849 CTU589828:CTU589849 DDQ589828:DDQ589849 DNM589828:DNM589849 DXI589828:DXI589849 EHE589828:EHE589849 ERA589828:ERA589849 FAW589828:FAW589849 FKS589828:FKS589849 FUO589828:FUO589849 GEK589828:GEK589849 GOG589828:GOG589849 GYC589828:GYC589849 HHY589828:HHY589849 HRU589828:HRU589849 IBQ589828:IBQ589849 ILM589828:ILM589849 IVI589828:IVI589849 JFE589828:JFE589849 JPA589828:JPA589849 JYW589828:JYW589849 KIS589828:KIS589849 KSO589828:KSO589849 LCK589828:LCK589849 LMG589828:LMG589849 LWC589828:LWC589849 MFY589828:MFY589849 MPU589828:MPU589849 MZQ589828:MZQ589849 NJM589828:NJM589849 NTI589828:NTI589849 ODE589828:ODE589849 ONA589828:ONA589849 OWW589828:OWW589849 PGS589828:PGS589849 PQO589828:PQO589849 QAK589828:QAK589849 QKG589828:QKG589849 QUC589828:QUC589849 RDY589828:RDY589849 RNU589828:RNU589849 RXQ589828:RXQ589849 SHM589828:SHM589849 SRI589828:SRI589849 TBE589828:TBE589849 TLA589828:TLA589849 TUW589828:TUW589849 UES589828:UES589849 UOO589828:UOO589849 UYK589828:UYK589849 VIG589828:VIG589849 VSC589828:VSC589849 WBY589828:WBY589849 WLU589828:WLU589849 WVQ589828:WVQ589849 H655364:H655385 JE655364:JE655385 TA655364:TA655385 ACW655364:ACW655385 AMS655364:AMS655385 AWO655364:AWO655385 BGK655364:BGK655385 BQG655364:BQG655385 CAC655364:CAC655385 CJY655364:CJY655385 CTU655364:CTU655385 DDQ655364:DDQ655385 DNM655364:DNM655385 DXI655364:DXI655385 EHE655364:EHE655385 ERA655364:ERA655385 FAW655364:FAW655385 FKS655364:FKS655385 FUO655364:FUO655385 GEK655364:GEK655385 GOG655364:GOG655385 GYC655364:GYC655385 HHY655364:HHY655385 HRU655364:HRU655385 IBQ655364:IBQ655385 ILM655364:ILM655385 IVI655364:IVI655385 JFE655364:JFE655385 JPA655364:JPA655385 JYW655364:JYW655385 KIS655364:KIS655385 KSO655364:KSO655385 LCK655364:LCK655385 LMG655364:LMG655385 LWC655364:LWC655385 MFY655364:MFY655385 MPU655364:MPU655385 MZQ655364:MZQ655385 NJM655364:NJM655385 NTI655364:NTI655385 ODE655364:ODE655385 ONA655364:ONA655385 OWW655364:OWW655385 PGS655364:PGS655385 PQO655364:PQO655385 QAK655364:QAK655385 QKG655364:QKG655385 QUC655364:QUC655385 RDY655364:RDY655385 RNU655364:RNU655385 RXQ655364:RXQ655385 SHM655364:SHM655385 SRI655364:SRI655385 TBE655364:TBE655385 TLA655364:TLA655385 TUW655364:TUW655385 UES655364:UES655385 UOO655364:UOO655385 UYK655364:UYK655385 VIG655364:VIG655385 VSC655364:VSC655385 WBY655364:WBY655385 WLU655364:WLU655385 WVQ655364:WVQ655385 H720900:H720921 JE720900:JE720921 TA720900:TA720921 ACW720900:ACW720921 AMS720900:AMS720921 AWO720900:AWO720921 BGK720900:BGK720921 BQG720900:BQG720921 CAC720900:CAC720921 CJY720900:CJY720921 CTU720900:CTU720921 DDQ720900:DDQ720921 DNM720900:DNM720921 DXI720900:DXI720921 EHE720900:EHE720921 ERA720900:ERA720921 FAW720900:FAW720921 FKS720900:FKS720921 FUO720900:FUO720921 GEK720900:GEK720921 GOG720900:GOG720921 GYC720900:GYC720921 HHY720900:HHY720921 HRU720900:HRU720921 IBQ720900:IBQ720921 ILM720900:ILM720921 IVI720900:IVI720921 JFE720900:JFE720921 JPA720900:JPA720921 JYW720900:JYW720921 KIS720900:KIS720921 KSO720900:KSO720921 LCK720900:LCK720921 LMG720900:LMG720921 LWC720900:LWC720921 MFY720900:MFY720921 MPU720900:MPU720921 MZQ720900:MZQ720921 NJM720900:NJM720921 NTI720900:NTI720921 ODE720900:ODE720921 ONA720900:ONA720921 OWW720900:OWW720921 PGS720900:PGS720921 PQO720900:PQO720921 QAK720900:QAK720921 QKG720900:QKG720921 QUC720900:QUC720921 RDY720900:RDY720921 RNU720900:RNU720921 RXQ720900:RXQ720921 SHM720900:SHM720921 SRI720900:SRI720921 TBE720900:TBE720921 TLA720900:TLA720921 TUW720900:TUW720921 UES720900:UES720921 UOO720900:UOO720921 UYK720900:UYK720921 VIG720900:VIG720921 VSC720900:VSC720921 WBY720900:WBY720921 WLU720900:WLU720921 WVQ720900:WVQ720921 H786436:H786457 JE786436:JE786457 TA786436:TA786457 ACW786436:ACW786457 AMS786436:AMS786457 AWO786436:AWO786457 BGK786436:BGK786457 BQG786436:BQG786457 CAC786436:CAC786457 CJY786436:CJY786457 CTU786436:CTU786457 DDQ786436:DDQ786457 DNM786436:DNM786457 DXI786436:DXI786457 EHE786436:EHE786457 ERA786436:ERA786457 FAW786436:FAW786457 FKS786436:FKS786457 FUO786436:FUO786457 GEK786436:GEK786457 GOG786436:GOG786457 GYC786436:GYC786457 HHY786436:HHY786457 HRU786436:HRU786457 IBQ786436:IBQ786457 ILM786436:ILM786457 IVI786436:IVI786457 JFE786436:JFE786457 JPA786436:JPA786457 JYW786436:JYW786457 KIS786436:KIS786457 KSO786436:KSO786457 LCK786436:LCK786457 LMG786436:LMG786457 LWC786436:LWC786457 MFY786436:MFY786457 MPU786436:MPU786457 MZQ786436:MZQ786457 NJM786436:NJM786457 NTI786436:NTI786457 ODE786436:ODE786457 ONA786436:ONA786457 OWW786436:OWW786457 PGS786436:PGS786457 PQO786436:PQO786457 QAK786436:QAK786457 QKG786436:QKG786457 QUC786436:QUC786457 RDY786436:RDY786457 RNU786436:RNU786457 RXQ786436:RXQ786457 SHM786436:SHM786457 SRI786436:SRI786457 TBE786436:TBE786457 TLA786436:TLA786457 TUW786436:TUW786457 UES786436:UES786457 UOO786436:UOO786457 UYK786436:UYK786457 VIG786436:VIG786457 VSC786436:VSC786457 WBY786436:WBY786457 WLU786436:WLU786457 WVQ786436:WVQ786457 H851972:H851993 JE851972:JE851993 TA851972:TA851993 ACW851972:ACW851993 AMS851972:AMS851993 AWO851972:AWO851993 BGK851972:BGK851993 BQG851972:BQG851993 CAC851972:CAC851993 CJY851972:CJY851993 CTU851972:CTU851993 DDQ851972:DDQ851993 DNM851972:DNM851993 DXI851972:DXI851993 EHE851972:EHE851993 ERA851972:ERA851993 FAW851972:FAW851993 FKS851972:FKS851993 FUO851972:FUO851993 GEK851972:GEK851993 GOG851972:GOG851993 GYC851972:GYC851993 HHY851972:HHY851993 HRU851972:HRU851993 IBQ851972:IBQ851993 ILM851972:ILM851993 IVI851972:IVI851993 JFE851972:JFE851993 JPA851972:JPA851993 JYW851972:JYW851993 KIS851972:KIS851993 KSO851972:KSO851993 LCK851972:LCK851993 LMG851972:LMG851993 LWC851972:LWC851993 MFY851972:MFY851993 MPU851972:MPU851993 MZQ851972:MZQ851993 NJM851972:NJM851993 NTI851972:NTI851993 ODE851972:ODE851993 ONA851972:ONA851993 OWW851972:OWW851993 PGS851972:PGS851993 PQO851972:PQO851993 QAK851972:QAK851993 QKG851972:QKG851993 QUC851972:QUC851993 RDY851972:RDY851993 RNU851972:RNU851993 RXQ851972:RXQ851993 SHM851972:SHM851993 SRI851972:SRI851993 TBE851972:TBE851993 TLA851972:TLA851993 TUW851972:TUW851993 UES851972:UES851993 UOO851972:UOO851993 UYK851972:UYK851993 VIG851972:VIG851993 VSC851972:VSC851993 WBY851972:WBY851993 WLU851972:WLU851993 WVQ851972:WVQ851993 H917508:H917529 JE917508:JE917529 TA917508:TA917529 ACW917508:ACW917529 AMS917508:AMS917529 AWO917508:AWO917529 BGK917508:BGK917529 BQG917508:BQG917529 CAC917508:CAC917529 CJY917508:CJY917529 CTU917508:CTU917529 DDQ917508:DDQ917529 DNM917508:DNM917529 DXI917508:DXI917529 EHE917508:EHE917529 ERA917508:ERA917529 FAW917508:FAW917529 FKS917508:FKS917529 FUO917508:FUO917529 GEK917508:GEK917529 GOG917508:GOG917529 GYC917508:GYC917529 HHY917508:HHY917529 HRU917508:HRU917529 IBQ917508:IBQ917529 ILM917508:ILM917529 IVI917508:IVI917529 JFE917508:JFE917529 JPA917508:JPA917529 JYW917508:JYW917529 KIS917508:KIS917529 KSO917508:KSO917529 LCK917508:LCK917529 LMG917508:LMG917529 LWC917508:LWC917529 MFY917508:MFY917529 MPU917508:MPU917529 MZQ917508:MZQ917529 NJM917508:NJM917529 NTI917508:NTI917529 ODE917508:ODE917529 ONA917508:ONA917529 OWW917508:OWW917529 PGS917508:PGS917529 PQO917508:PQO917529 QAK917508:QAK917529 QKG917508:QKG917529 QUC917508:QUC917529 RDY917508:RDY917529 RNU917508:RNU917529 RXQ917508:RXQ917529 SHM917508:SHM917529 SRI917508:SRI917529 TBE917508:TBE917529 TLA917508:TLA917529 TUW917508:TUW917529 UES917508:UES917529 UOO917508:UOO917529 UYK917508:UYK917529 VIG917508:VIG917529 VSC917508:VSC917529 WBY917508:WBY917529 WLU917508:WLU917529 WVQ917508:WVQ917529 H983044:H983065 JE983044:JE983065 TA983044:TA983065 ACW983044:ACW983065 AMS983044:AMS983065 AWO983044:AWO983065 BGK983044:BGK983065 BQG983044:BQG983065 CAC983044:CAC983065 CJY983044:CJY983065 CTU983044:CTU983065 DDQ983044:DDQ983065 DNM983044:DNM983065 DXI983044:DXI983065 EHE983044:EHE983065 ERA983044:ERA983065 FAW983044:FAW983065 FKS983044:FKS983065 FUO983044:FUO983065 GEK983044:GEK983065 GOG983044:GOG983065 GYC983044:GYC983065 HHY983044:HHY983065 HRU983044:HRU983065 IBQ983044:IBQ983065 ILM983044:ILM983065 IVI983044:IVI983065 JFE983044:JFE983065 JPA983044:JPA983065 JYW983044:JYW983065 KIS983044:KIS983065 KSO983044:KSO983065 LCK983044:LCK983065 LMG983044:LMG983065 LWC983044:LWC983065 MFY983044:MFY983065 MPU983044:MPU983065 MZQ983044:MZQ983065 NJM983044:NJM983065 NTI983044:NTI983065 ODE983044:ODE983065 ONA983044:ONA983065 OWW983044:OWW983065 PGS983044:PGS983065 PQO983044:PQO983065 QAK983044:QAK983065 QKG983044:QKG983065 QUC983044:QUC983065 RDY983044:RDY983065 RNU983044:RNU983065 RXQ983044:RXQ983065 SHM983044:SHM983065 SRI983044:SRI983065 TBE983044:TBE983065 TLA983044:TLA983065 TUW983044:TUW983065 UES983044:UES983065 UOO983044:UOO983065 UYK983044:UYK983065 VIG983044:VIG983065 VSC983044:VSC983065 WBY983044:WBY983065 WLU983044:WLU983065 WVQ983044:WVQ983065 H65594:H65629 JE65594:JE65629 TA65594:TA65629 ACW65594:ACW65629 AMS65594:AMS65629 AWO65594:AWO65629 BGK65594:BGK65629 BQG65594:BQG65629 CAC65594:CAC65629 CJY65594:CJY65629 CTU65594:CTU65629 DDQ65594:DDQ65629 DNM65594:DNM65629 DXI65594:DXI65629 EHE65594:EHE65629 ERA65594:ERA65629 FAW65594:FAW65629 FKS65594:FKS65629 FUO65594:FUO65629 GEK65594:GEK65629 GOG65594:GOG65629 GYC65594:GYC65629 HHY65594:HHY65629 HRU65594:HRU65629 IBQ65594:IBQ65629 ILM65594:ILM65629 IVI65594:IVI65629 JFE65594:JFE65629 JPA65594:JPA65629 JYW65594:JYW65629 KIS65594:KIS65629 KSO65594:KSO65629 LCK65594:LCK65629 LMG65594:LMG65629 LWC65594:LWC65629 MFY65594:MFY65629 MPU65594:MPU65629 MZQ65594:MZQ65629 NJM65594:NJM65629 NTI65594:NTI65629 ODE65594:ODE65629 ONA65594:ONA65629 OWW65594:OWW65629 PGS65594:PGS65629 PQO65594:PQO65629 QAK65594:QAK65629 QKG65594:QKG65629 QUC65594:QUC65629 RDY65594:RDY65629 RNU65594:RNU65629 RXQ65594:RXQ65629 SHM65594:SHM65629 SRI65594:SRI65629 TBE65594:TBE65629 TLA65594:TLA65629 TUW65594:TUW65629 UES65594:UES65629 UOO65594:UOO65629 UYK65594:UYK65629 VIG65594:VIG65629 VSC65594:VSC65629 WBY65594:WBY65629 WLU65594:WLU65629 WVQ65594:WVQ65629 H131130:H131165 JE131130:JE131165 TA131130:TA131165 ACW131130:ACW131165 AMS131130:AMS131165 AWO131130:AWO131165 BGK131130:BGK131165 BQG131130:BQG131165 CAC131130:CAC131165 CJY131130:CJY131165 CTU131130:CTU131165 DDQ131130:DDQ131165 DNM131130:DNM131165 DXI131130:DXI131165 EHE131130:EHE131165 ERA131130:ERA131165 FAW131130:FAW131165 FKS131130:FKS131165 FUO131130:FUO131165 GEK131130:GEK131165 GOG131130:GOG131165 GYC131130:GYC131165 HHY131130:HHY131165 HRU131130:HRU131165 IBQ131130:IBQ131165 ILM131130:ILM131165 IVI131130:IVI131165 JFE131130:JFE131165 JPA131130:JPA131165 JYW131130:JYW131165 KIS131130:KIS131165 KSO131130:KSO131165 LCK131130:LCK131165 LMG131130:LMG131165 LWC131130:LWC131165 MFY131130:MFY131165 MPU131130:MPU131165 MZQ131130:MZQ131165 NJM131130:NJM131165 NTI131130:NTI131165 ODE131130:ODE131165 ONA131130:ONA131165 OWW131130:OWW131165 PGS131130:PGS131165 PQO131130:PQO131165 QAK131130:QAK131165 QKG131130:QKG131165 QUC131130:QUC131165 RDY131130:RDY131165 RNU131130:RNU131165 RXQ131130:RXQ131165 SHM131130:SHM131165 SRI131130:SRI131165 TBE131130:TBE131165 TLA131130:TLA131165 TUW131130:TUW131165 UES131130:UES131165 UOO131130:UOO131165 UYK131130:UYK131165 VIG131130:VIG131165 VSC131130:VSC131165 WBY131130:WBY131165 WLU131130:WLU131165 WVQ131130:WVQ131165 H196666:H196701 JE196666:JE196701 TA196666:TA196701 ACW196666:ACW196701 AMS196666:AMS196701 AWO196666:AWO196701 BGK196666:BGK196701 BQG196666:BQG196701 CAC196666:CAC196701 CJY196666:CJY196701 CTU196666:CTU196701 DDQ196666:DDQ196701 DNM196666:DNM196701 DXI196666:DXI196701 EHE196666:EHE196701 ERA196666:ERA196701 FAW196666:FAW196701 FKS196666:FKS196701 FUO196666:FUO196701 GEK196666:GEK196701 GOG196666:GOG196701 GYC196666:GYC196701 HHY196666:HHY196701 HRU196666:HRU196701 IBQ196666:IBQ196701 ILM196666:ILM196701 IVI196666:IVI196701 JFE196666:JFE196701 JPA196666:JPA196701 JYW196666:JYW196701 KIS196666:KIS196701 KSO196666:KSO196701 LCK196666:LCK196701 LMG196666:LMG196701 LWC196666:LWC196701 MFY196666:MFY196701 MPU196666:MPU196701 MZQ196666:MZQ196701 NJM196666:NJM196701 NTI196666:NTI196701 ODE196666:ODE196701 ONA196666:ONA196701 OWW196666:OWW196701 PGS196666:PGS196701 PQO196666:PQO196701 QAK196666:QAK196701 QKG196666:QKG196701 QUC196666:QUC196701 RDY196666:RDY196701 RNU196666:RNU196701 RXQ196666:RXQ196701 SHM196666:SHM196701 SRI196666:SRI196701 TBE196666:TBE196701 TLA196666:TLA196701 TUW196666:TUW196701 UES196666:UES196701 UOO196666:UOO196701 UYK196666:UYK196701 VIG196666:VIG196701 VSC196666:VSC196701 WBY196666:WBY196701 WLU196666:WLU196701 WVQ196666:WVQ196701 H262202:H262237 JE262202:JE262237 TA262202:TA262237 ACW262202:ACW262237 AMS262202:AMS262237 AWO262202:AWO262237 BGK262202:BGK262237 BQG262202:BQG262237 CAC262202:CAC262237 CJY262202:CJY262237 CTU262202:CTU262237 DDQ262202:DDQ262237 DNM262202:DNM262237 DXI262202:DXI262237 EHE262202:EHE262237 ERA262202:ERA262237 FAW262202:FAW262237 FKS262202:FKS262237 FUO262202:FUO262237 GEK262202:GEK262237 GOG262202:GOG262237 GYC262202:GYC262237 HHY262202:HHY262237 HRU262202:HRU262237 IBQ262202:IBQ262237 ILM262202:ILM262237 IVI262202:IVI262237 JFE262202:JFE262237 JPA262202:JPA262237 JYW262202:JYW262237 KIS262202:KIS262237 KSO262202:KSO262237 LCK262202:LCK262237 LMG262202:LMG262237 LWC262202:LWC262237 MFY262202:MFY262237 MPU262202:MPU262237 MZQ262202:MZQ262237 NJM262202:NJM262237 NTI262202:NTI262237 ODE262202:ODE262237 ONA262202:ONA262237 OWW262202:OWW262237 PGS262202:PGS262237 PQO262202:PQO262237 QAK262202:QAK262237 QKG262202:QKG262237 QUC262202:QUC262237 RDY262202:RDY262237 RNU262202:RNU262237 RXQ262202:RXQ262237 SHM262202:SHM262237 SRI262202:SRI262237 TBE262202:TBE262237 TLA262202:TLA262237 TUW262202:TUW262237 UES262202:UES262237 UOO262202:UOO262237 UYK262202:UYK262237 VIG262202:VIG262237 VSC262202:VSC262237 WBY262202:WBY262237 WLU262202:WLU262237 WVQ262202:WVQ262237 H327738:H327773 JE327738:JE327773 TA327738:TA327773 ACW327738:ACW327773 AMS327738:AMS327773 AWO327738:AWO327773 BGK327738:BGK327773 BQG327738:BQG327773 CAC327738:CAC327773 CJY327738:CJY327773 CTU327738:CTU327773 DDQ327738:DDQ327773 DNM327738:DNM327773 DXI327738:DXI327773 EHE327738:EHE327773 ERA327738:ERA327773 FAW327738:FAW327773 FKS327738:FKS327773 FUO327738:FUO327773 GEK327738:GEK327773 GOG327738:GOG327773 GYC327738:GYC327773 HHY327738:HHY327773 HRU327738:HRU327773 IBQ327738:IBQ327773 ILM327738:ILM327773 IVI327738:IVI327773 JFE327738:JFE327773 JPA327738:JPA327773 JYW327738:JYW327773 KIS327738:KIS327773 KSO327738:KSO327773 LCK327738:LCK327773 LMG327738:LMG327773 LWC327738:LWC327773 MFY327738:MFY327773 MPU327738:MPU327773 MZQ327738:MZQ327773 NJM327738:NJM327773 NTI327738:NTI327773 ODE327738:ODE327773 ONA327738:ONA327773 OWW327738:OWW327773 PGS327738:PGS327773 PQO327738:PQO327773 QAK327738:QAK327773 QKG327738:QKG327773 QUC327738:QUC327773 RDY327738:RDY327773 RNU327738:RNU327773 RXQ327738:RXQ327773 SHM327738:SHM327773 SRI327738:SRI327773 TBE327738:TBE327773 TLA327738:TLA327773 TUW327738:TUW327773 UES327738:UES327773 UOO327738:UOO327773 UYK327738:UYK327773 VIG327738:VIG327773 VSC327738:VSC327773 WBY327738:WBY327773 WLU327738:WLU327773 WVQ327738:WVQ327773 H393274:H393309 JE393274:JE393309 TA393274:TA393309 ACW393274:ACW393309 AMS393274:AMS393309 AWO393274:AWO393309 BGK393274:BGK393309 BQG393274:BQG393309 CAC393274:CAC393309 CJY393274:CJY393309 CTU393274:CTU393309 DDQ393274:DDQ393309 DNM393274:DNM393309 DXI393274:DXI393309 EHE393274:EHE393309 ERA393274:ERA393309 FAW393274:FAW393309 FKS393274:FKS393309 FUO393274:FUO393309 GEK393274:GEK393309 GOG393274:GOG393309 GYC393274:GYC393309 HHY393274:HHY393309 HRU393274:HRU393309 IBQ393274:IBQ393309 ILM393274:ILM393309 IVI393274:IVI393309 JFE393274:JFE393309 JPA393274:JPA393309 JYW393274:JYW393309 KIS393274:KIS393309 KSO393274:KSO393309 LCK393274:LCK393309 LMG393274:LMG393309 LWC393274:LWC393309 MFY393274:MFY393309 MPU393274:MPU393309 MZQ393274:MZQ393309 NJM393274:NJM393309 NTI393274:NTI393309 ODE393274:ODE393309 ONA393274:ONA393309 OWW393274:OWW393309 PGS393274:PGS393309 PQO393274:PQO393309 QAK393274:QAK393309 QKG393274:QKG393309 QUC393274:QUC393309 RDY393274:RDY393309 RNU393274:RNU393309 RXQ393274:RXQ393309 SHM393274:SHM393309 SRI393274:SRI393309 TBE393274:TBE393309 TLA393274:TLA393309 TUW393274:TUW393309 UES393274:UES393309 UOO393274:UOO393309 UYK393274:UYK393309 VIG393274:VIG393309 VSC393274:VSC393309 WBY393274:WBY393309 WLU393274:WLU393309 WVQ393274:WVQ393309 H458810:H458845 JE458810:JE458845 TA458810:TA458845 ACW458810:ACW458845 AMS458810:AMS458845 AWO458810:AWO458845 BGK458810:BGK458845 BQG458810:BQG458845 CAC458810:CAC458845 CJY458810:CJY458845 CTU458810:CTU458845 DDQ458810:DDQ458845 DNM458810:DNM458845 DXI458810:DXI458845 EHE458810:EHE458845 ERA458810:ERA458845 FAW458810:FAW458845 FKS458810:FKS458845 FUO458810:FUO458845 GEK458810:GEK458845 GOG458810:GOG458845 GYC458810:GYC458845 HHY458810:HHY458845 HRU458810:HRU458845 IBQ458810:IBQ458845 ILM458810:ILM458845 IVI458810:IVI458845 JFE458810:JFE458845 JPA458810:JPA458845 JYW458810:JYW458845 KIS458810:KIS458845 KSO458810:KSO458845 LCK458810:LCK458845 LMG458810:LMG458845 LWC458810:LWC458845 MFY458810:MFY458845 MPU458810:MPU458845 MZQ458810:MZQ458845 NJM458810:NJM458845 NTI458810:NTI458845 ODE458810:ODE458845 ONA458810:ONA458845 OWW458810:OWW458845 PGS458810:PGS458845 PQO458810:PQO458845 QAK458810:QAK458845 QKG458810:QKG458845 QUC458810:QUC458845 RDY458810:RDY458845 RNU458810:RNU458845 RXQ458810:RXQ458845 SHM458810:SHM458845 SRI458810:SRI458845 TBE458810:TBE458845 TLA458810:TLA458845 TUW458810:TUW458845 UES458810:UES458845 UOO458810:UOO458845 UYK458810:UYK458845 VIG458810:VIG458845 VSC458810:VSC458845 WBY458810:WBY458845 WLU458810:WLU458845 WVQ458810:WVQ458845 H524346:H524381 JE524346:JE524381 TA524346:TA524381 ACW524346:ACW524381 AMS524346:AMS524381 AWO524346:AWO524381 BGK524346:BGK524381 BQG524346:BQG524381 CAC524346:CAC524381 CJY524346:CJY524381 CTU524346:CTU524381 DDQ524346:DDQ524381 DNM524346:DNM524381 DXI524346:DXI524381 EHE524346:EHE524381 ERA524346:ERA524381 FAW524346:FAW524381 FKS524346:FKS524381 FUO524346:FUO524381 GEK524346:GEK524381 GOG524346:GOG524381 GYC524346:GYC524381 HHY524346:HHY524381 HRU524346:HRU524381 IBQ524346:IBQ524381 ILM524346:ILM524381 IVI524346:IVI524381 JFE524346:JFE524381 JPA524346:JPA524381 JYW524346:JYW524381 KIS524346:KIS524381 KSO524346:KSO524381 LCK524346:LCK524381 LMG524346:LMG524381 LWC524346:LWC524381 MFY524346:MFY524381 MPU524346:MPU524381 MZQ524346:MZQ524381 NJM524346:NJM524381 NTI524346:NTI524381 ODE524346:ODE524381 ONA524346:ONA524381 OWW524346:OWW524381 PGS524346:PGS524381 PQO524346:PQO524381 QAK524346:QAK524381 QKG524346:QKG524381 QUC524346:QUC524381 RDY524346:RDY524381 RNU524346:RNU524381 RXQ524346:RXQ524381 SHM524346:SHM524381 SRI524346:SRI524381 TBE524346:TBE524381 TLA524346:TLA524381 TUW524346:TUW524381 UES524346:UES524381 UOO524346:UOO524381 UYK524346:UYK524381 VIG524346:VIG524381 VSC524346:VSC524381 WBY524346:WBY524381 WLU524346:WLU524381 WVQ524346:WVQ524381 H589882:H589917 JE589882:JE589917 TA589882:TA589917 ACW589882:ACW589917 AMS589882:AMS589917 AWO589882:AWO589917 BGK589882:BGK589917 BQG589882:BQG589917 CAC589882:CAC589917 CJY589882:CJY589917 CTU589882:CTU589917 DDQ589882:DDQ589917 DNM589882:DNM589917 DXI589882:DXI589917 EHE589882:EHE589917 ERA589882:ERA589917 FAW589882:FAW589917 FKS589882:FKS589917 FUO589882:FUO589917 GEK589882:GEK589917 GOG589882:GOG589917 GYC589882:GYC589917 HHY589882:HHY589917 HRU589882:HRU589917 IBQ589882:IBQ589917 ILM589882:ILM589917 IVI589882:IVI589917 JFE589882:JFE589917 JPA589882:JPA589917 JYW589882:JYW589917 KIS589882:KIS589917 KSO589882:KSO589917 LCK589882:LCK589917 LMG589882:LMG589917 LWC589882:LWC589917 MFY589882:MFY589917 MPU589882:MPU589917 MZQ589882:MZQ589917 NJM589882:NJM589917 NTI589882:NTI589917 ODE589882:ODE589917 ONA589882:ONA589917 OWW589882:OWW589917 PGS589882:PGS589917 PQO589882:PQO589917 QAK589882:QAK589917 QKG589882:QKG589917 QUC589882:QUC589917 RDY589882:RDY589917 RNU589882:RNU589917 RXQ589882:RXQ589917 SHM589882:SHM589917 SRI589882:SRI589917 TBE589882:TBE589917 TLA589882:TLA589917 TUW589882:TUW589917 UES589882:UES589917 UOO589882:UOO589917 UYK589882:UYK589917 VIG589882:VIG589917 VSC589882:VSC589917 WBY589882:WBY589917 WLU589882:WLU589917 WVQ589882:WVQ589917 H655418:H655453 JE655418:JE655453 TA655418:TA655453 ACW655418:ACW655453 AMS655418:AMS655453 AWO655418:AWO655453 BGK655418:BGK655453 BQG655418:BQG655453 CAC655418:CAC655453 CJY655418:CJY655453 CTU655418:CTU655453 DDQ655418:DDQ655453 DNM655418:DNM655453 DXI655418:DXI655453 EHE655418:EHE655453 ERA655418:ERA655453 FAW655418:FAW655453 FKS655418:FKS655453 FUO655418:FUO655453 GEK655418:GEK655453 GOG655418:GOG655453 GYC655418:GYC655453 HHY655418:HHY655453 HRU655418:HRU655453 IBQ655418:IBQ655453 ILM655418:ILM655453 IVI655418:IVI655453 JFE655418:JFE655453 JPA655418:JPA655453 JYW655418:JYW655453 KIS655418:KIS655453 KSO655418:KSO655453 LCK655418:LCK655453 LMG655418:LMG655453 LWC655418:LWC655453 MFY655418:MFY655453 MPU655418:MPU655453 MZQ655418:MZQ655453 NJM655418:NJM655453 NTI655418:NTI655453 ODE655418:ODE655453 ONA655418:ONA655453 OWW655418:OWW655453 PGS655418:PGS655453 PQO655418:PQO655453 QAK655418:QAK655453 QKG655418:QKG655453 QUC655418:QUC655453 RDY655418:RDY655453 RNU655418:RNU655453 RXQ655418:RXQ655453 SHM655418:SHM655453 SRI655418:SRI655453 TBE655418:TBE655453 TLA655418:TLA655453 TUW655418:TUW655453 UES655418:UES655453 UOO655418:UOO655453 UYK655418:UYK655453 VIG655418:VIG655453 VSC655418:VSC655453 WBY655418:WBY655453 WLU655418:WLU655453 WVQ655418:WVQ655453 H720954:H720989 JE720954:JE720989 TA720954:TA720989 ACW720954:ACW720989 AMS720954:AMS720989 AWO720954:AWO720989 BGK720954:BGK720989 BQG720954:BQG720989 CAC720954:CAC720989 CJY720954:CJY720989 CTU720954:CTU720989 DDQ720954:DDQ720989 DNM720954:DNM720989 DXI720954:DXI720989 EHE720954:EHE720989 ERA720954:ERA720989 FAW720954:FAW720989 FKS720954:FKS720989 FUO720954:FUO720989 GEK720954:GEK720989 GOG720954:GOG720989 GYC720954:GYC720989 HHY720954:HHY720989 HRU720954:HRU720989 IBQ720954:IBQ720989 ILM720954:ILM720989 IVI720954:IVI720989 JFE720954:JFE720989 JPA720954:JPA720989 JYW720954:JYW720989 KIS720954:KIS720989 KSO720954:KSO720989 LCK720954:LCK720989 LMG720954:LMG720989 LWC720954:LWC720989 MFY720954:MFY720989 MPU720954:MPU720989 MZQ720954:MZQ720989 NJM720954:NJM720989 NTI720954:NTI720989 ODE720954:ODE720989 ONA720954:ONA720989 OWW720954:OWW720989 PGS720954:PGS720989 PQO720954:PQO720989 QAK720954:QAK720989 QKG720954:QKG720989 QUC720954:QUC720989 RDY720954:RDY720989 RNU720954:RNU720989 RXQ720954:RXQ720989 SHM720954:SHM720989 SRI720954:SRI720989 TBE720954:TBE720989 TLA720954:TLA720989 TUW720954:TUW720989 UES720954:UES720989 UOO720954:UOO720989 UYK720954:UYK720989 VIG720954:VIG720989 VSC720954:VSC720989 WBY720954:WBY720989 WLU720954:WLU720989 WVQ720954:WVQ720989 H786490:H786525 JE786490:JE786525 TA786490:TA786525 ACW786490:ACW786525 AMS786490:AMS786525 AWO786490:AWO786525 BGK786490:BGK786525 BQG786490:BQG786525 CAC786490:CAC786525 CJY786490:CJY786525 CTU786490:CTU786525 DDQ786490:DDQ786525 DNM786490:DNM786525 DXI786490:DXI786525 EHE786490:EHE786525 ERA786490:ERA786525 FAW786490:FAW786525 FKS786490:FKS786525 FUO786490:FUO786525 GEK786490:GEK786525 GOG786490:GOG786525 GYC786490:GYC786525 HHY786490:HHY786525 HRU786490:HRU786525 IBQ786490:IBQ786525 ILM786490:ILM786525 IVI786490:IVI786525 JFE786490:JFE786525 JPA786490:JPA786525 JYW786490:JYW786525 KIS786490:KIS786525 KSO786490:KSO786525 LCK786490:LCK786525 LMG786490:LMG786525 LWC786490:LWC786525 MFY786490:MFY786525 MPU786490:MPU786525 MZQ786490:MZQ786525 NJM786490:NJM786525 NTI786490:NTI786525 ODE786490:ODE786525 ONA786490:ONA786525 OWW786490:OWW786525 PGS786490:PGS786525 PQO786490:PQO786525 QAK786490:QAK786525 QKG786490:QKG786525 QUC786490:QUC786525 RDY786490:RDY786525 RNU786490:RNU786525 RXQ786490:RXQ786525 SHM786490:SHM786525 SRI786490:SRI786525 TBE786490:TBE786525 TLA786490:TLA786525 TUW786490:TUW786525 UES786490:UES786525 UOO786490:UOO786525 UYK786490:UYK786525 VIG786490:VIG786525 VSC786490:VSC786525 WBY786490:WBY786525 WLU786490:WLU786525 WVQ786490:WVQ786525 H852026:H852061 JE852026:JE852061 TA852026:TA852061 ACW852026:ACW852061 AMS852026:AMS852061 AWO852026:AWO852061 BGK852026:BGK852061 BQG852026:BQG852061 CAC852026:CAC852061 CJY852026:CJY852061 CTU852026:CTU852061 DDQ852026:DDQ852061 DNM852026:DNM852061 DXI852026:DXI852061 EHE852026:EHE852061 ERA852026:ERA852061 FAW852026:FAW852061 FKS852026:FKS852061 FUO852026:FUO852061 GEK852026:GEK852061 GOG852026:GOG852061 GYC852026:GYC852061 HHY852026:HHY852061 HRU852026:HRU852061 IBQ852026:IBQ852061 ILM852026:ILM852061 IVI852026:IVI852061 JFE852026:JFE852061 JPA852026:JPA852061 JYW852026:JYW852061 KIS852026:KIS852061 KSO852026:KSO852061 LCK852026:LCK852061 LMG852026:LMG852061 LWC852026:LWC852061 MFY852026:MFY852061 MPU852026:MPU852061 MZQ852026:MZQ852061 NJM852026:NJM852061 NTI852026:NTI852061 ODE852026:ODE852061 ONA852026:ONA852061 OWW852026:OWW852061 PGS852026:PGS852061 PQO852026:PQO852061 QAK852026:QAK852061 QKG852026:QKG852061 QUC852026:QUC852061 RDY852026:RDY852061 RNU852026:RNU852061 RXQ852026:RXQ852061 SHM852026:SHM852061 SRI852026:SRI852061 TBE852026:TBE852061 TLA852026:TLA852061 TUW852026:TUW852061 UES852026:UES852061 UOO852026:UOO852061 UYK852026:UYK852061 VIG852026:VIG852061 VSC852026:VSC852061 WBY852026:WBY852061 WLU852026:WLU852061 WVQ852026:WVQ852061 H917562:H917597 JE917562:JE917597 TA917562:TA917597 ACW917562:ACW917597 AMS917562:AMS917597 AWO917562:AWO917597 BGK917562:BGK917597 BQG917562:BQG917597 CAC917562:CAC917597 CJY917562:CJY917597 CTU917562:CTU917597 DDQ917562:DDQ917597 DNM917562:DNM917597 DXI917562:DXI917597 EHE917562:EHE917597 ERA917562:ERA917597 FAW917562:FAW917597 FKS917562:FKS917597 FUO917562:FUO917597 GEK917562:GEK917597 GOG917562:GOG917597 GYC917562:GYC917597 HHY917562:HHY917597 HRU917562:HRU917597 IBQ917562:IBQ917597 ILM917562:ILM917597 IVI917562:IVI917597 JFE917562:JFE917597 JPA917562:JPA917597 JYW917562:JYW917597 KIS917562:KIS917597 KSO917562:KSO917597 LCK917562:LCK917597 LMG917562:LMG917597 LWC917562:LWC917597 MFY917562:MFY917597 MPU917562:MPU917597 MZQ917562:MZQ917597 NJM917562:NJM917597 NTI917562:NTI917597 ODE917562:ODE917597 ONA917562:ONA917597 OWW917562:OWW917597 PGS917562:PGS917597 PQO917562:PQO917597 QAK917562:QAK917597 QKG917562:QKG917597 QUC917562:QUC917597 RDY917562:RDY917597 RNU917562:RNU917597 RXQ917562:RXQ917597 SHM917562:SHM917597 SRI917562:SRI917597 TBE917562:TBE917597 TLA917562:TLA917597 TUW917562:TUW917597 UES917562:UES917597 UOO917562:UOO917597 UYK917562:UYK917597 VIG917562:VIG917597 VSC917562:VSC917597 WBY917562:WBY917597 WLU917562:WLU917597 WVQ917562:WVQ917597 H983098:H983133 JE983098:JE983133 TA983098:TA983133 ACW983098:ACW983133 AMS983098:AMS983133 AWO983098:AWO983133 BGK983098:BGK983133 BQG983098:BQG983133 CAC983098:CAC983133 CJY983098:CJY983133 CTU983098:CTU983133 DDQ983098:DDQ983133 DNM983098:DNM983133 DXI983098:DXI983133 EHE983098:EHE983133 ERA983098:ERA983133 FAW983098:FAW983133 FKS983098:FKS983133 FUO983098:FUO983133 GEK983098:GEK983133 GOG983098:GOG983133 GYC983098:GYC983133 HHY983098:HHY983133 HRU983098:HRU983133 IBQ983098:IBQ983133 ILM983098:ILM983133 IVI983098:IVI983133 JFE983098:JFE983133 JPA983098:JPA983133 JYW983098:JYW983133 KIS983098:KIS983133 KSO983098:KSO983133 LCK983098:LCK983133 LMG983098:LMG983133 LWC983098:LWC983133 MFY983098:MFY983133 MPU983098:MPU983133 MZQ983098:MZQ983133 NJM983098:NJM983133 NTI983098:NTI983133 ODE983098:ODE983133 ONA983098:ONA983133 OWW983098:OWW983133 PGS983098:PGS983133 PQO983098:PQO983133 QAK983098:QAK983133 QKG983098:QKG983133 QUC983098:QUC983133 RDY983098:RDY983133 RNU983098:RNU983133 RXQ983098:RXQ983133 SHM983098:SHM983133 SRI983098:SRI983133 TBE983098:TBE983133 TLA983098:TLA983133 TUW983098:TUW983133 UES983098:UES983133 UOO983098:UOO983133 UYK983098:UYK983133 VIG983098:VIG983133 VSC983098:VSC983133 WBY983098:WBY983133 WLU983098:WLU983133 WVQ983098:WVQ983133 H5:H33 H66:H93 WVQ66:WVQ93 WLU66:WLU93 WBY66:WBY93 VSC66:VSC93 VIG66:VIG93 UYK66:UYK93 UOO66:UOO93 UES66:UES93 TUW66:TUW93 TLA66:TLA93 TBE66:TBE93 SRI66:SRI93 SHM66:SHM93 RXQ66:RXQ93 RNU66:RNU93 RDY66:RDY93 QUC66:QUC93 QKG66:QKG93 QAK66:QAK93 PQO66:PQO93 PGS66:PGS93 OWW66:OWW93 ONA66:ONA93 ODE66:ODE93 NTI66:NTI93 NJM66:NJM93 MZQ66:MZQ93 MPU66:MPU93 MFY66:MFY93 LWC66:LWC93 LMG66:LMG93 LCK66:LCK93 KSO66:KSO93 KIS66:KIS93 JYW66:JYW93 JPA66:JPA93 JFE66:JFE93 IVI66:IVI93 ILM66:ILM93 IBQ66:IBQ93 HRU66:HRU93 HHY66:HHY93 GYC66:GYC93 GOG66:GOG93 GEK66:GEK93 FUO66:FUO93 FKS66:FKS93 FAW66:FAW93 ERA66:ERA93 EHE66:EHE93 DXI66:DXI93 DNM66:DNM93 DDQ66:DDQ93 CTU66:CTU93 CJY66:CJY93 CAC66:CAC93 BQG66:BQG93 BGK66:BGK93 AWO66:AWO93 AMS66:AMS93 ACW66:ACW93 TA66:TA93 JE66:JE93" xr:uid="{745CAECF-88DC-0042-BA7E-F784B9370F68}">
      <formula1>INDIRECT(F5)</formula1>
    </dataValidation>
  </dataValidations>
  <hyperlinks>
    <hyperlink ref="A2" r:id="rId1" xr:uid="{BF78223A-AB68-C742-95B4-E5778988B528}"/>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77CFC96C-C922-49B5-B941-167CEB0C3E93}">
          <x14:formula1>
            <xm:f>'LISTADOS DESPLEGABLES'!$AB$3:$AB$4</xm:f>
          </x14:formula1>
          <xm:sqref>X3:X76</xm:sqref>
        </x14:dataValidation>
        <x14:dataValidation type="list" allowBlank="1" showInputMessage="1" showErrorMessage="1" xr:uid="{3A4A3A5B-7B95-47F2-96DF-0DF7B348721A}">
          <x14:formula1>
            <xm:f>'LISTADOS DESPLEGABLES'!$AC$3:$AC$6</xm:f>
          </x14:formula1>
          <xm:sqref>Y3:Y71</xm:sqref>
        </x14:dataValidation>
        <x14:dataValidation type="list" allowBlank="1" showInputMessage="1" showErrorMessage="1" xr:uid="{C88EDE78-C52B-4EA6-9C4F-9D1F0ED18780}">
          <x14:formula1>
            <xm:f>'LISTADOS DESPLEGABLES'!$AD$3:$AD$6</xm:f>
          </x14:formula1>
          <xm:sqref>Z3:Z71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6C047-5E8F-4213-9C8F-54AF8EC8143A}">
  <dimension ref="A2:AE6"/>
  <sheetViews>
    <sheetView topLeftCell="Z1" workbookViewId="0">
      <selection activeCell="AD6" sqref="AD6"/>
    </sheetView>
  </sheetViews>
  <sheetFormatPr baseColWidth="10" defaultColWidth="11.42578125" defaultRowHeight="15" x14ac:dyDescent="0.25"/>
  <cols>
    <col min="1" max="1" width="39.42578125" customWidth="1"/>
    <col min="2" max="2" width="41.28515625" customWidth="1"/>
    <col min="3" max="3" width="46.42578125" customWidth="1"/>
    <col min="4" max="4" width="68.85546875" customWidth="1"/>
    <col min="5" max="5" width="81.7109375" customWidth="1"/>
    <col min="6" max="6" width="80" customWidth="1"/>
    <col min="7" max="7" width="19" customWidth="1"/>
    <col min="8" max="8" width="22.7109375" customWidth="1"/>
    <col min="9" max="9" width="23.42578125" customWidth="1"/>
    <col min="10" max="10" width="15.42578125" customWidth="1"/>
    <col min="11" max="11" width="57.140625" customWidth="1"/>
    <col min="12" max="12" width="15.42578125" customWidth="1"/>
    <col min="13" max="13" width="28.28515625" customWidth="1"/>
    <col min="14" max="14" width="29.42578125" customWidth="1"/>
    <col min="15" max="15" width="37.28515625" customWidth="1"/>
    <col min="16" max="16" width="33.7109375" customWidth="1"/>
    <col min="17" max="17" width="62.140625" customWidth="1"/>
    <col min="18" max="18" width="64.42578125" customWidth="1"/>
    <col min="19" max="19" width="20.42578125" customWidth="1"/>
    <col min="20" max="20" width="21.28515625" customWidth="1"/>
    <col min="21" max="21" width="22.140625" bestFit="1" customWidth="1"/>
    <col min="22" max="22" width="27.28515625" bestFit="1" customWidth="1"/>
    <col min="23" max="23" width="46.140625" customWidth="1"/>
    <col min="24" max="24" width="26.28515625" bestFit="1" customWidth="1"/>
    <col min="25" max="25" width="51" customWidth="1"/>
    <col min="26" max="26" width="30.42578125" customWidth="1"/>
    <col min="27" max="30" width="39.42578125" customWidth="1"/>
    <col min="31" max="31" width="31.140625" customWidth="1"/>
  </cols>
  <sheetData>
    <row r="2" spans="1:31" ht="63" x14ac:dyDescent="0.25">
      <c r="A2" s="631" t="s">
        <v>22</v>
      </c>
      <c r="B2" s="632" t="s">
        <v>23</v>
      </c>
      <c r="C2" s="632" t="s">
        <v>24</v>
      </c>
      <c r="D2" s="617" t="s">
        <v>25</v>
      </c>
      <c r="E2" s="633" t="s">
        <v>26</v>
      </c>
      <c r="F2" s="618" t="s">
        <v>27</v>
      </c>
      <c r="G2" s="618" t="s">
        <v>28</v>
      </c>
      <c r="H2" s="618" t="s">
        <v>29</v>
      </c>
      <c r="I2" s="618" t="s">
        <v>30</v>
      </c>
      <c r="J2" s="618" t="s">
        <v>31</v>
      </c>
      <c r="K2" s="618" t="s">
        <v>32</v>
      </c>
      <c r="L2" s="618" t="s">
        <v>33</v>
      </c>
      <c r="M2" s="634" t="s">
        <v>717</v>
      </c>
      <c r="N2" s="618" t="s">
        <v>37</v>
      </c>
      <c r="O2" s="625" t="s">
        <v>35</v>
      </c>
      <c r="P2" s="618" t="s">
        <v>36</v>
      </c>
      <c r="Q2" s="618" t="s">
        <v>38</v>
      </c>
      <c r="R2" s="618" t="s">
        <v>39</v>
      </c>
      <c r="S2" s="618" t="s">
        <v>40</v>
      </c>
      <c r="T2" s="618" t="s">
        <v>41</v>
      </c>
      <c r="U2" s="618" t="s">
        <v>42</v>
      </c>
      <c r="V2" s="618" t="s">
        <v>43</v>
      </c>
      <c r="W2" s="618" t="s">
        <v>44</v>
      </c>
      <c r="X2" s="618" t="s">
        <v>45</v>
      </c>
      <c r="Y2" s="618" t="s">
        <v>46</v>
      </c>
      <c r="Z2" s="618" t="s">
        <v>47</v>
      </c>
      <c r="AA2" s="637" t="s">
        <v>48</v>
      </c>
      <c r="AB2" s="667" t="s">
        <v>49</v>
      </c>
      <c r="AC2" s="667" t="s">
        <v>50</v>
      </c>
      <c r="AD2" s="667" t="s">
        <v>51</v>
      </c>
      <c r="AE2" s="668" t="s">
        <v>487</v>
      </c>
    </row>
    <row r="3" spans="1:31" x14ac:dyDescent="0.25">
      <c r="AB3" t="s">
        <v>102</v>
      </c>
      <c r="AC3" t="s">
        <v>741</v>
      </c>
      <c r="AD3" t="s">
        <v>742</v>
      </c>
    </row>
    <row r="4" spans="1:31" x14ac:dyDescent="0.25">
      <c r="AB4" t="s">
        <v>112</v>
      </c>
      <c r="AC4" t="s">
        <v>103</v>
      </c>
      <c r="AD4" t="s">
        <v>178</v>
      </c>
    </row>
    <row r="5" spans="1:31" x14ac:dyDescent="0.25">
      <c r="AC5" t="s">
        <v>124</v>
      </c>
      <c r="AD5" t="s">
        <v>125</v>
      </c>
    </row>
    <row r="6" spans="1:31" x14ac:dyDescent="0.25">
      <c r="AC6" t="s">
        <v>113</v>
      </c>
      <c r="AD6"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E3B2C-FE5F-1348-AA24-F8970B624DDC}">
  <sheetPr>
    <tabColor theme="9" tint="-0.249977111117893"/>
  </sheetPr>
  <dimension ref="A1:C23"/>
  <sheetViews>
    <sheetView zoomScale="210" zoomScaleNormal="210" workbookViewId="0">
      <selection activeCell="A13" sqref="A13"/>
    </sheetView>
  </sheetViews>
  <sheetFormatPr baseColWidth="10" defaultColWidth="0" defaultRowHeight="15" zeroHeight="1" x14ac:dyDescent="0.25"/>
  <cols>
    <col min="1" max="1" width="72.140625" bestFit="1" customWidth="1"/>
    <col min="2" max="2" width="31.28515625" bestFit="1" customWidth="1"/>
    <col min="3" max="3" width="10" customWidth="1"/>
    <col min="4" max="16384" width="10.85546875" hidden="1"/>
  </cols>
  <sheetData>
    <row r="1" spans="1:2" x14ac:dyDescent="0.25"/>
    <row r="2" spans="1:2" x14ac:dyDescent="0.25"/>
    <row r="3" spans="1:2" x14ac:dyDescent="0.25">
      <c r="A3" s="37" t="s">
        <v>0</v>
      </c>
      <c r="B3" t="s">
        <v>716</v>
      </c>
    </row>
    <row r="4" spans="1:2" x14ac:dyDescent="0.25">
      <c r="A4" s="38" t="s">
        <v>545</v>
      </c>
      <c r="B4" s="82">
        <v>2420411768</v>
      </c>
    </row>
    <row r="5" spans="1:2" x14ac:dyDescent="0.25">
      <c r="A5" s="537" t="s">
        <v>554</v>
      </c>
      <c r="B5" s="82">
        <v>144654394</v>
      </c>
    </row>
    <row r="6" spans="1:2" x14ac:dyDescent="0.25">
      <c r="A6" s="537" t="s">
        <v>203</v>
      </c>
      <c r="B6" s="82">
        <v>185548426</v>
      </c>
    </row>
    <row r="7" spans="1:2" x14ac:dyDescent="0.25">
      <c r="A7" s="537" t="s">
        <v>281</v>
      </c>
      <c r="B7" s="82">
        <v>1791688448</v>
      </c>
    </row>
    <row r="8" spans="1:2" x14ac:dyDescent="0.25">
      <c r="A8" s="537" t="s">
        <v>68</v>
      </c>
      <c r="B8" s="82">
        <v>65183530</v>
      </c>
    </row>
    <row r="9" spans="1:2" x14ac:dyDescent="0.25">
      <c r="A9" s="537" t="s">
        <v>288</v>
      </c>
      <c r="B9" s="82">
        <v>86119792</v>
      </c>
    </row>
    <row r="10" spans="1:2" x14ac:dyDescent="0.25">
      <c r="A10" s="537" t="s">
        <v>473</v>
      </c>
      <c r="B10" s="82">
        <v>147217178</v>
      </c>
    </row>
    <row r="11" spans="1:2" x14ac:dyDescent="0.25">
      <c r="A11" s="38" t="s">
        <v>719</v>
      </c>
      <c r="B11" s="82">
        <v>6213858439</v>
      </c>
    </row>
    <row r="12" spans="1:2" x14ac:dyDescent="0.25">
      <c r="A12" s="537" t="s">
        <v>473</v>
      </c>
      <c r="B12" s="82">
        <v>6213858439</v>
      </c>
    </row>
    <row r="13" spans="1:2" x14ac:dyDescent="0.25">
      <c r="A13" s="38" t="s">
        <v>721</v>
      </c>
      <c r="B13" s="82">
        <v>102412868</v>
      </c>
    </row>
    <row r="14" spans="1:2" x14ac:dyDescent="0.25">
      <c r="A14" s="537" t="s">
        <v>203</v>
      </c>
      <c r="B14" s="82">
        <v>94172868</v>
      </c>
    </row>
    <row r="15" spans="1:2" x14ac:dyDescent="0.25">
      <c r="A15" s="537" t="s">
        <v>473</v>
      </c>
      <c r="B15" s="82">
        <v>8240000</v>
      </c>
    </row>
    <row r="16" spans="1:2" x14ac:dyDescent="0.25">
      <c r="A16" s="38" t="s">
        <v>696</v>
      </c>
      <c r="B16" s="82">
        <v>6353040</v>
      </c>
    </row>
    <row r="17" spans="1:2" x14ac:dyDescent="0.25">
      <c r="A17" s="537" t="s">
        <v>281</v>
      </c>
      <c r="B17" s="82">
        <v>6353040</v>
      </c>
    </row>
    <row r="18" spans="1:2" hidden="1" x14ac:dyDescent="0.25">
      <c r="A18" s="38" t="s">
        <v>702</v>
      </c>
      <c r="B18" s="82">
        <v>30505180</v>
      </c>
    </row>
    <row r="19" spans="1:2" hidden="1" x14ac:dyDescent="0.25">
      <c r="A19" s="537" t="s">
        <v>554</v>
      </c>
      <c r="B19" s="82">
        <v>29446340</v>
      </c>
    </row>
    <row r="20" spans="1:2" hidden="1" x14ac:dyDescent="0.25">
      <c r="A20" s="537" t="s">
        <v>203</v>
      </c>
      <c r="B20" s="82">
        <v>1058840</v>
      </c>
    </row>
    <row r="21" spans="1:2" hidden="1" x14ac:dyDescent="0.25">
      <c r="A21" s="38" t="s">
        <v>705</v>
      </c>
      <c r="B21" s="82">
        <v>37208527</v>
      </c>
    </row>
    <row r="22" spans="1:2" hidden="1" x14ac:dyDescent="0.25">
      <c r="A22" s="537" t="s">
        <v>554</v>
      </c>
      <c r="B22" s="82">
        <v>37208527</v>
      </c>
    </row>
    <row r="23" spans="1:2" hidden="1" x14ac:dyDescent="0.25">
      <c r="A23" s="38" t="s">
        <v>17</v>
      </c>
      <c r="B23" s="82">
        <v>8810749822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F9EB6-F2B9-4E91-AF37-13F4D4E11C2A}">
  <dimension ref="B1:J25"/>
  <sheetViews>
    <sheetView zoomScale="90" zoomScaleNormal="90" workbookViewId="0">
      <selection activeCell="C3" sqref="C3"/>
    </sheetView>
  </sheetViews>
  <sheetFormatPr baseColWidth="10" defaultColWidth="10.85546875" defaultRowHeight="15" zeroHeight="1" x14ac:dyDescent="0.25"/>
  <cols>
    <col min="1" max="1" width="10.85546875" customWidth="1"/>
    <col min="2" max="2" width="45.140625" bestFit="1" customWidth="1"/>
    <col min="3" max="3" width="26.42578125" customWidth="1"/>
    <col min="4" max="4" width="27" customWidth="1"/>
    <col min="5" max="5" width="27.140625" hidden="1" customWidth="1"/>
    <col min="6" max="6" width="14" customWidth="1"/>
    <col min="7" max="7" width="22.140625" customWidth="1"/>
    <col min="8" max="8" width="25" customWidth="1"/>
    <col min="10" max="10" width="18.42578125" customWidth="1"/>
    <col min="11" max="11" width="14.42578125" customWidth="1"/>
    <col min="12" max="13" width="14" bestFit="1" customWidth="1"/>
    <col min="16" max="16" width="11.140625" bestFit="1" customWidth="1"/>
  </cols>
  <sheetData>
    <row r="1" spans="2:8" x14ac:dyDescent="0.25"/>
    <row r="2" spans="2:8" x14ac:dyDescent="0.25">
      <c r="B2" s="40" t="s">
        <v>477</v>
      </c>
      <c r="C2" s="41"/>
      <c r="F2" s="429">
        <v>52958378</v>
      </c>
      <c r="G2" s="458">
        <f>E4-F2</f>
        <v>-41431094.195858479</v>
      </c>
    </row>
    <row r="3" spans="2:8" x14ac:dyDescent="0.25">
      <c r="B3" s="48" t="s">
        <v>0</v>
      </c>
      <c r="C3" s="67" t="s">
        <v>743</v>
      </c>
      <c r="D3" s="68" t="s">
        <v>744</v>
      </c>
      <c r="E3" s="68" t="s">
        <v>745</v>
      </c>
      <c r="F3" s="431"/>
      <c r="G3" s="433" t="s">
        <v>746</v>
      </c>
      <c r="H3" s="433" t="s">
        <v>747</v>
      </c>
    </row>
    <row r="4" spans="2:8" x14ac:dyDescent="0.25">
      <c r="B4" s="42" t="s">
        <v>59</v>
      </c>
      <c r="C4" s="43">
        <v>1817340681.9058585</v>
      </c>
      <c r="D4" s="49">
        <f>GETPIVOTDATA("VALOR TOTAL ESTIMADO",'2. RESUMEN INVERSIÓN'!$A$3,"AREA","FACULTAD SEMINARIO ANDRÉS BELLO")</f>
        <v>1828867965.71</v>
      </c>
      <c r="E4" s="428">
        <f>D4-C4</f>
        <v>11527283.804141521</v>
      </c>
      <c r="F4" s="424"/>
      <c r="G4" s="49">
        <v>2070191543.3900001</v>
      </c>
      <c r="H4" s="432">
        <f>D4-G4</f>
        <v>-241323577.68000007</v>
      </c>
    </row>
    <row r="5" spans="2:8" x14ac:dyDescent="0.25">
      <c r="B5" s="42" t="s">
        <v>748</v>
      </c>
      <c r="C5" s="43">
        <v>2657734849.799334</v>
      </c>
      <c r="D5" s="49">
        <f>SUM(D6:D12)</f>
        <v>2757793789.272727</v>
      </c>
      <c r="E5" s="428">
        <f>SUM(E6:E12)</f>
        <v>100058939.47339335</v>
      </c>
      <c r="F5" s="424"/>
      <c r="G5" s="49">
        <v>3384586382</v>
      </c>
      <c r="H5" s="432">
        <f>D5-G5</f>
        <v>-626792592.72727299</v>
      </c>
    </row>
    <row r="6" spans="2:8" x14ac:dyDescent="0.25">
      <c r="B6" s="44" t="s">
        <v>105</v>
      </c>
      <c r="C6" s="39">
        <v>260096043.47998786</v>
      </c>
      <c r="D6" s="50">
        <f>GETPIVOTDATA("VALOR TOTAL ESTIMADO",'2. RESUMEN INVERSIÓN'!$A$3,"AREA","GRUPO DE BIBLIOTECA")</f>
        <v>255668927</v>
      </c>
      <c r="E6" s="429">
        <f t="shared" ref="E6:E20" si="0">D6-C6</f>
        <v>-4427116.4799878597</v>
      </c>
      <c r="F6" s="489">
        <f>52777690</f>
        <v>52777690</v>
      </c>
      <c r="G6" s="50">
        <v>338228635</v>
      </c>
      <c r="H6" s="434">
        <f>D6-G6</f>
        <v>-82559708</v>
      </c>
    </row>
    <row r="7" spans="2:8" x14ac:dyDescent="0.25">
      <c r="B7" s="467" t="s">
        <v>749</v>
      </c>
      <c r="C7" s="468">
        <v>735807927.31754303</v>
      </c>
      <c r="D7" s="469">
        <f>GETPIVOTDATA("VALOR TOTAL ESTIMADO",'2. RESUMEN INVERSIÓN'!$A$3,"AREA","INVESTIGACIÓN")</f>
        <v>735807926</v>
      </c>
      <c r="E7" s="470">
        <f t="shared" si="0"/>
        <v>-1.3175430297851563</v>
      </c>
      <c r="F7" s="425"/>
      <c r="G7" s="50">
        <v>879309495</v>
      </c>
      <c r="H7" s="434">
        <f t="shared" ref="H7:H15" si="1">D7-G7</f>
        <v>-143501569</v>
      </c>
    </row>
    <row r="8" spans="2:8" x14ac:dyDescent="0.25">
      <c r="B8" s="44" t="s">
        <v>170</v>
      </c>
      <c r="C8" s="39">
        <v>210385372.84658042</v>
      </c>
      <c r="D8" s="50">
        <f>GETPIVOTDATA("VALOR TOTAL ESTIMADO",'2. RESUMEN INVERSIÓN'!$A$3,"AREA","GRUPO DE PROCESOS EDITORIALES")</f>
        <v>218149215</v>
      </c>
      <c r="E8" s="491">
        <f t="shared" si="0"/>
        <v>7763842.153419584</v>
      </c>
      <c r="F8" s="425"/>
      <c r="G8" s="50">
        <v>276737272</v>
      </c>
      <c r="H8" s="434">
        <f t="shared" si="1"/>
        <v>-58588057</v>
      </c>
    </row>
    <row r="9" spans="2:8" x14ac:dyDescent="0.25">
      <c r="B9" s="44" t="s">
        <v>750</v>
      </c>
      <c r="C9" s="39">
        <v>366099060.12329268</v>
      </c>
      <c r="D9" s="50">
        <f>GETPIVOTDATA("VALOR TOTAL ESTIMADO",'2. RESUMEN INVERSIÓN'!$A$3,"AREA","EQUIPO DE COMUNICACIONES Y PRENSA")</f>
        <v>332425334.0454545</v>
      </c>
      <c r="E9" s="429">
        <f t="shared" si="0"/>
        <v>-33673726.077838182</v>
      </c>
      <c r="F9" s="425"/>
      <c r="G9" s="50">
        <v>375841479</v>
      </c>
      <c r="H9" s="434">
        <f t="shared" si="1"/>
        <v>-43416144.954545498</v>
      </c>
    </row>
    <row r="10" spans="2:8" x14ac:dyDescent="0.25">
      <c r="B10" s="44" t="s">
        <v>751</v>
      </c>
      <c r="C10" s="39">
        <v>368050504.51330805</v>
      </c>
      <c r="D10" s="50">
        <f>GETPIVOTDATA("VALOR TOTAL ESTIMADO",'2. RESUMEN INVERSIÓN'!$A$3,"AREA","EQUIPO DE GESTIÓN DE MUSEOS")</f>
        <v>352974334.22727269</v>
      </c>
      <c r="E10" s="429">
        <f t="shared" si="0"/>
        <v>-15076170.286035359</v>
      </c>
      <c r="F10" s="425"/>
      <c r="G10" s="50">
        <v>447050504</v>
      </c>
      <c r="H10" s="434">
        <f t="shared" si="1"/>
        <v>-94076169.772727311</v>
      </c>
    </row>
    <row r="11" spans="2:8" x14ac:dyDescent="0.25">
      <c r="B11" s="44" t="s">
        <v>198</v>
      </c>
      <c r="C11" s="39">
        <v>717295941.5186218</v>
      </c>
      <c r="D11" s="50">
        <f>GETPIVOTDATA("VALOR TOTAL ESTIMADO",'2. RESUMEN INVERSIÓN'!$A$3,"AREA","SUBDIRECCIÓN ACADÉMICA")</f>
        <v>611682585</v>
      </c>
      <c r="E11" s="429">
        <f t="shared" si="0"/>
        <v>-105613356.5186218</v>
      </c>
      <c r="F11" s="425"/>
      <c r="G11" s="50">
        <v>620984097</v>
      </c>
      <c r="H11" s="434">
        <f t="shared" si="1"/>
        <v>-9301512</v>
      </c>
    </row>
    <row r="12" spans="2:8" x14ac:dyDescent="0.25">
      <c r="B12" s="44" t="s">
        <v>118</v>
      </c>
      <c r="C12" s="39">
        <v>0</v>
      </c>
      <c r="D12" s="50">
        <f>GETPIVOTDATA("VALOR TOTAL ESTIMADO",'2. RESUMEN INVERSIÓN'!$A$3,"AREA","EQUIPO DE EDUCACIÓN CONTINUA")</f>
        <v>251085468</v>
      </c>
      <c r="E12" s="429">
        <f>D12-C12</f>
        <v>251085468</v>
      </c>
      <c r="F12" s="429">
        <f>88929455</f>
        <v>88929455</v>
      </c>
      <c r="G12" s="50">
        <v>446434900</v>
      </c>
      <c r="H12" s="434">
        <f t="shared" si="1"/>
        <v>-195349432</v>
      </c>
    </row>
    <row r="13" spans="2:8" x14ac:dyDescent="0.25">
      <c r="B13" s="42" t="s">
        <v>752</v>
      </c>
      <c r="C13" s="43">
        <v>6381560.3078553425</v>
      </c>
      <c r="D13" s="49">
        <f>SUM(D14:D15)</f>
        <v>584539.26</v>
      </c>
      <c r="E13" s="428">
        <f>SUM(E14:E15)</f>
        <v>-5797021.0478553427</v>
      </c>
      <c r="F13" s="424"/>
      <c r="G13" s="49">
        <v>584539.26</v>
      </c>
      <c r="H13" s="435">
        <f t="shared" si="1"/>
        <v>0</v>
      </c>
    </row>
    <row r="14" spans="2:8" x14ac:dyDescent="0.25">
      <c r="B14" s="467" t="s">
        <v>753</v>
      </c>
      <c r="C14" s="471">
        <v>5797021.0436553424</v>
      </c>
      <c r="D14" s="469">
        <v>0</v>
      </c>
      <c r="E14" s="470">
        <f t="shared" si="0"/>
        <v>-5797021.0436553424</v>
      </c>
      <c r="F14" s="425"/>
      <c r="G14" s="50">
        <v>0</v>
      </c>
      <c r="H14" s="434">
        <f t="shared" si="1"/>
        <v>0</v>
      </c>
    </row>
    <row r="15" spans="2:8" x14ac:dyDescent="0.25">
      <c r="B15" s="467" t="s">
        <v>472</v>
      </c>
      <c r="C15" s="471">
        <v>584539.26419999998</v>
      </c>
      <c r="D15" s="469">
        <f>GETPIVOTDATA("VALOR TOTAL ESTIMADO",'2. RESUMEN INVERSIÓN'!$A$3,"AREA","TALENTO HUMANO")</f>
        <v>584539.26</v>
      </c>
      <c r="E15" s="470">
        <f t="shared" si="0"/>
        <v>-4.1999999666586518E-3</v>
      </c>
      <c r="F15" s="425"/>
      <c r="G15" s="50">
        <v>584539.26</v>
      </c>
      <c r="H15" s="434">
        <f t="shared" si="1"/>
        <v>0</v>
      </c>
    </row>
    <row r="16" spans="2:8" x14ac:dyDescent="0.25">
      <c r="B16" s="42" t="s">
        <v>270</v>
      </c>
      <c r="C16" s="43">
        <v>705072078.83300996</v>
      </c>
      <c r="D16" s="49">
        <f>SUM(D17:D20)</f>
        <v>664282878.43478262</v>
      </c>
      <c r="E16" s="428">
        <f>SUM(E17:E20)</f>
        <v>-40789200.39822723</v>
      </c>
      <c r="F16" s="424"/>
      <c r="G16" s="49">
        <v>843163938</v>
      </c>
      <c r="H16" s="49">
        <f>SUM(H17:H20)</f>
        <v>-178881059.56521738</v>
      </c>
    </row>
    <row r="17" spans="2:10" x14ac:dyDescent="0.25">
      <c r="B17" s="467" t="s">
        <v>271</v>
      </c>
      <c r="C17" s="471">
        <v>118476365.55803789</v>
      </c>
      <c r="D17" s="469">
        <f>GETPIVOTDATA("VALOR TOTAL ESTIMADO",'2. RESUMEN INVERSIÓN'!$A$3,"AREA","GRUPO DE PLANEACIÓN")</f>
        <v>107888089.43478261</v>
      </c>
      <c r="E17" s="470">
        <f t="shared" si="0"/>
        <v>-10588276.123255283</v>
      </c>
      <c r="F17" s="425"/>
      <c r="G17" s="50">
        <v>121609999</v>
      </c>
      <c r="H17" s="434">
        <f>D17-G17</f>
        <v>-13721909.565217391</v>
      </c>
    </row>
    <row r="18" spans="2:10" x14ac:dyDescent="0.25">
      <c r="B18" s="44" t="s">
        <v>754</v>
      </c>
      <c r="C18" s="39">
        <v>78076251.912521765</v>
      </c>
      <c r="D18" s="50">
        <f>GETPIVOTDATA("VALOR TOTAL ESTIMADO",'2. RESUMEN INVERSIÓN'!$A$3,"AREA","DIRECCIÓN GENERAL")</f>
        <v>49000000</v>
      </c>
      <c r="E18" s="429">
        <f t="shared" si="0"/>
        <v>-29076251.912521765</v>
      </c>
      <c r="F18" s="425"/>
      <c r="G18" s="50">
        <v>120989421</v>
      </c>
      <c r="H18" s="434">
        <f t="shared" ref="H18:H20" si="2">D18-G18</f>
        <v>-71989421</v>
      </c>
    </row>
    <row r="19" spans="2:10" x14ac:dyDescent="0.25">
      <c r="B19" s="44" t="s">
        <v>287</v>
      </c>
      <c r="C19" s="39">
        <v>507394789.30771935</v>
      </c>
      <c r="D19" s="50">
        <f>GETPIVOTDATA("VALOR TOTAL ESTIMADO",'2. RESUMEN INVERSIÓN'!$A$3,"AREA","GRUPO DE TECNOLOGÍAS DE LA INFORMACIÓN")</f>
        <v>507394789</v>
      </c>
      <c r="E19" s="429">
        <f>D19-C19</f>
        <v>-0.30771934986114502</v>
      </c>
      <c r="F19" s="425"/>
      <c r="G19" s="50">
        <v>600564518</v>
      </c>
      <c r="H19" s="434">
        <f t="shared" si="2"/>
        <v>-93169729</v>
      </c>
    </row>
    <row r="20" spans="2:10" x14ac:dyDescent="0.25">
      <c r="B20" s="44" t="s">
        <v>755</v>
      </c>
      <c r="C20" s="39">
        <v>1124672.054730833</v>
      </c>
      <c r="D20" s="50">
        <v>0</v>
      </c>
      <c r="E20" s="429">
        <f t="shared" si="0"/>
        <v>-1124672.054730833</v>
      </c>
      <c r="F20" s="425"/>
      <c r="G20" s="50"/>
      <c r="H20" s="434">
        <f t="shared" si="2"/>
        <v>0</v>
      </c>
    </row>
    <row r="21" spans="2:10" ht="18.75" x14ac:dyDescent="0.3">
      <c r="B21" s="42" t="s">
        <v>756</v>
      </c>
      <c r="C21" s="43">
        <v>5186529170.8460579</v>
      </c>
      <c r="D21" s="49">
        <f>SUM(D4+D5+D13+D16)</f>
        <v>5251529172.6775103</v>
      </c>
      <c r="E21" s="430">
        <f>E4+E5+E13+E16</f>
        <v>65000001.831452295</v>
      </c>
      <c r="F21" s="426"/>
      <c r="G21" s="49">
        <v>6298526402.6500006</v>
      </c>
      <c r="H21" s="49">
        <f>SUM(H4+H5+H13+H16)</f>
        <v>-1046997229.9724904</v>
      </c>
    </row>
    <row r="22" spans="2:10" ht="18.75" x14ac:dyDescent="0.3">
      <c r="E22" s="47"/>
      <c r="F22" s="427"/>
      <c r="G22" s="456">
        <v>1111997231.8039401</v>
      </c>
      <c r="J22" s="457" t="e">
        <f>G22-#REF!</f>
        <v>#REF!</v>
      </c>
    </row>
    <row r="23" spans="2:10" x14ac:dyDescent="0.25">
      <c r="C23" t="s">
        <v>757</v>
      </c>
      <c r="D23" s="82">
        <v>5251529173</v>
      </c>
    </row>
    <row r="24" spans="2:10" ht="23.25" x14ac:dyDescent="0.35">
      <c r="C24" s="47"/>
      <c r="D24" s="490"/>
    </row>
    <row r="25" spans="2:10" x14ac:dyDescent="0.2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43DD1-69B2-C94F-87E9-8ECB2F6C10C1}">
  <sheetPr>
    <tabColor theme="5" tint="0.39997558519241921"/>
  </sheetPr>
  <dimension ref="A1:G50"/>
  <sheetViews>
    <sheetView topLeftCell="A37" workbookViewId="0">
      <selection activeCell="D41" sqref="D41"/>
    </sheetView>
  </sheetViews>
  <sheetFormatPr baseColWidth="10" defaultColWidth="0" defaultRowHeight="15" zeroHeight="1" x14ac:dyDescent="0.25"/>
  <cols>
    <col min="1" max="1" width="10.85546875" customWidth="1"/>
    <col min="2" max="2" width="22.140625" bestFit="1" customWidth="1"/>
    <col min="3" max="3" width="29.140625" customWidth="1"/>
    <col min="4" max="4" width="112.7109375" customWidth="1"/>
    <col min="5" max="5" width="34.85546875" customWidth="1"/>
    <col min="6" max="6" width="10.85546875" customWidth="1"/>
    <col min="7" max="7" width="14.85546875" customWidth="1"/>
    <col min="8" max="16384" width="10.85546875" hidden="1"/>
  </cols>
  <sheetData>
    <row r="1" spans="2:7" x14ac:dyDescent="0.25"/>
    <row r="2" spans="2:7" ht="21" x14ac:dyDescent="0.35">
      <c r="B2" s="505" t="s">
        <v>758</v>
      </c>
      <c r="C2" s="505" t="s">
        <v>759</v>
      </c>
      <c r="D2" s="505" t="s">
        <v>760</v>
      </c>
      <c r="E2" s="505" t="s">
        <v>761</v>
      </c>
    </row>
    <row r="3" spans="2:7" ht="165" x14ac:dyDescent="0.25">
      <c r="B3" s="502" t="s">
        <v>762</v>
      </c>
      <c r="C3" s="502" t="s">
        <v>763</v>
      </c>
      <c r="D3" s="503" t="s">
        <v>764</v>
      </c>
      <c r="E3" s="13" t="s">
        <v>765</v>
      </c>
    </row>
    <row r="4" spans="2:7" ht="105" x14ac:dyDescent="0.25">
      <c r="B4" s="502" t="s">
        <v>766</v>
      </c>
      <c r="C4" s="502" t="s">
        <v>767</v>
      </c>
      <c r="D4" s="503" t="s">
        <v>768</v>
      </c>
      <c r="E4" s="504" t="s">
        <v>769</v>
      </c>
      <c r="G4" s="455" t="s">
        <v>770</v>
      </c>
    </row>
    <row r="5" spans="2:7" ht="45" x14ac:dyDescent="0.25">
      <c r="B5" s="13" t="s">
        <v>771</v>
      </c>
      <c r="C5" s="13" t="s">
        <v>772</v>
      </c>
      <c r="D5" s="504" t="s">
        <v>773</v>
      </c>
      <c r="E5" s="13"/>
    </row>
    <row r="6" spans="2:7" ht="75" x14ac:dyDescent="0.25">
      <c r="B6" s="13" t="s">
        <v>94</v>
      </c>
      <c r="C6" s="13" t="s">
        <v>774</v>
      </c>
      <c r="D6" s="504" t="s">
        <v>775</v>
      </c>
      <c r="E6" s="13"/>
    </row>
    <row r="7" spans="2:7" ht="45" x14ac:dyDescent="0.25">
      <c r="B7" s="13" t="s">
        <v>94</v>
      </c>
      <c r="C7" s="13" t="s">
        <v>776</v>
      </c>
      <c r="D7" s="504" t="s">
        <v>777</v>
      </c>
      <c r="E7" s="13"/>
    </row>
    <row r="8" spans="2:7" ht="60" x14ac:dyDescent="0.25">
      <c r="B8" s="13" t="s">
        <v>60</v>
      </c>
      <c r="C8" s="13" t="s">
        <v>778</v>
      </c>
      <c r="D8" s="504" t="s">
        <v>779</v>
      </c>
      <c r="E8" s="13"/>
    </row>
    <row r="9" spans="2:7" x14ac:dyDescent="0.25">
      <c r="B9" s="13"/>
      <c r="C9" s="13"/>
      <c r="D9" s="13"/>
      <c r="E9" s="13"/>
    </row>
    <row r="10" spans="2:7" x14ac:dyDescent="0.25">
      <c r="B10" s="13"/>
      <c r="C10" s="13"/>
      <c r="D10" s="13"/>
      <c r="E10" s="13"/>
    </row>
    <row r="11" spans="2:7" x14ac:dyDescent="0.25">
      <c r="B11" s="13"/>
      <c r="C11" s="13"/>
      <c r="D11" s="13"/>
      <c r="E11" s="13"/>
    </row>
    <row r="12" spans="2:7" x14ac:dyDescent="0.25">
      <c r="B12" s="13" t="s">
        <v>762</v>
      </c>
      <c r="C12" s="13" t="s">
        <v>780</v>
      </c>
      <c r="D12" s="13" t="s">
        <v>781</v>
      </c>
      <c r="E12" s="13"/>
    </row>
    <row r="13" spans="2:7" x14ac:dyDescent="0.25">
      <c r="B13" s="13" t="s">
        <v>762</v>
      </c>
      <c r="C13" s="13"/>
      <c r="D13" s="13" t="s">
        <v>782</v>
      </c>
      <c r="E13" s="13" t="s">
        <v>783</v>
      </c>
    </row>
    <row r="14" spans="2:7" x14ac:dyDescent="0.25">
      <c r="B14" s="13" t="s">
        <v>784</v>
      </c>
      <c r="C14" s="13"/>
      <c r="D14" s="13" t="s">
        <v>785</v>
      </c>
      <c r="E14" s="13"/>
    </row>
    <row r="15" spans="2:7" x14ac:dyDescent="0.25">
      <c r="B15" s="13" t="s">
        <v>176</v>
      </c>
      <c r="C15" s="13"/>
      <c r="D15" s="13" t="s">
        <v>786</v>
      </c>
      <c r="E15" s="13"/>
    </row>
    <row r="16" spans="2:7" x14ac:dyDescent="0.25">
      <c r="B16" s="13" t="s">
        <v>762</v>
      </c>
      <c r="C16" s="13" t="s">
        <v>780</v>
      </c>
      <c r="D16" s="13" t="s">
        <v>787</v>
      </c>
      <c r="E16" s="13"/>
    </row>
    <row r="17" spans="2:5" x14ac:dyDescent="0.25">
      <c r="B17" s="13" t="s">
        <v>762</v>
      </c>
      <c r="C17" s="13" t="s">
        <v>780</v>
      </c>
      <c r="D17" s="13" t="s">
        <v>788</v>
      </c>
      <c r="E17" s="13"/>
    </row>
    <row r="18" spans="2:5" x14ac:dyDescent="0.25">
      <c r="B18" s="13" t="s">
        <v>762</v>
      </c>
      <c r="C18" s="13" t="s">
        <v>780</v>
      </c>
      <c r="D18" s="13" t="s">
        <v>789</v>
      </c>
      <c r="E18" s="13"/>
    </row>
    <row r="19" spans="2:5" x14ac:dyDescent="0.25">
      <c r="B19" s="13" t="s">
        <v>762</v>
      </c>
      <c r="C19" s="13" t="s">
        <v>780</v>
      </c>
      <c r="D19" s="13" t="s">
        <v>790</v>
      </c>
      <c r="E19" s="13"/>
    </row>
    <row r="20" spans="2:5" x14ac:dyDescent="0.25">
      <c r="B20" s="13" t="s">
        <v>762</v>
      </c>
      <c r="C20" s="13" t="s">
        <v>780</v>
      </c>
      <c r="D20" s="13" t="s">
        <v>791</v>
      </c>
      <c r="E20" s="13"/>
    </row>
    <row r="21" spans="2:5" x14ac:dyDescent="0.25">
      <c r="B21" s="13" t="s">
        <v>762</v>
      </c>
      <c r="C21" s="13" t="s">
        <v>780</v>
      </c>
      <c r="D21" s="13" t="s">
        <v>792</v>
      </c>
      <c r="E21" s="13"/>
    </row>
    <row r="22" spans="2:5" x14ac:dyDescent="0.25">
      <c r="B22" s="13" t="s">
        <v>762</v>
      </c>
      <c r="C22" s="13" t="s">
        <v>780</v>
      </c>
      <c r="D22" s="13" t="s">
        <v>793</v>
      </c>
      <c r="E22" s="13"/>
    </row>
    <row r="23" spans="2:5" x14ac:dyDescent="0.25">
      <c r="B23" s="13" t="s">
        <v>762</v>
      </c>
      <c r="C23" s="13" t="s">
        <v>780</v>
      </c>
      <c r="D23" s="13" t="s">
        <v>794</v>
      </c>
      <c r="E23" s="13"/>
    </row>
    <row r="24" spans="2:5" x14ac:dyDescent="0.25">
      <c r="B24" s="13" t="s">
        <v>762</v>
      </c>
      <c r="C24" s="13" t="s">
        <v>780</v>
      </c>
      <c r="D24" s="13" t="s">
        <v>795</v>
      </c>
      <c r="E24" s="13"/>
    </row>
    <row r="25" spans="2:5" x14ac:dyDescent="0.25">
      <c r="B25" s="13" t="s">
        <v>762</v>
      </c>
      <c r="C25" s="13" t="s">
        <v>780</v>
      </c>
      <c r="D25" s="13" t="s">
        <v>796</v>
      </c>
      <c r="E25" s="13"/>
    </row>
    <row r="26" spans="2:5" x14ac:dyDescent="0.25">
      <c r="B26" s="13" t="s">
        <v>762</v>
      </c>
      <c r="C26" s="13" t="s">
        <v>797</v>
      </c>
      <c r="D26" s="13" t="s">
        <v>798</v>
      </c>
      <c r="E26" s="13"/>
    </row>
    <row r="27" spans="2:5" x14ac:dyDescent="0.25">
      <c r="B27" s="13" t="s">
        <v>762</v>
      </c>
      <c r="C27" s="13" t="s">
        <v>797</v>
      </c>
      <c r="D27" s="13" t="s">
        <v>799</v>
      </c>
      <c r="E27" s="13"/>
    </row>
    <row r="28" spans="2:5" x14ac:dyDescent="0.25">
      <c r="B28" s="13" t="s">
        <v>762</v>
      </c>
      <c r="C28" s="13" t="s">
        <v>797</v>
      </c>
      <c r="D28" s="13" t="s">
        <v>800</v>
      </c>
      <c r="E28" s="13"/>
    </row>
    <row r="29" spans="2:5" x14ac:dyDescent="0.25">
      <c r="B29" s="13" t="s">
        <v>762</v>
      </c>
      <c r="C29" s="13" t="s">
        <v>797</v>
      </c>
      <c r="D29" s="13" t="s">
        <v>801</v>
      </c>
      <c r="E29" s="13"/>
    </row>
    <row r="30" spans="2:5" x14ac:dyDescent="0.25">
      <c r="B30" s="13" t="s">
        <v>762</v>
      </c>
      <c r="C30" s="13" t="s">
        <v>797</v>
      </c>
      <c r="D30" s="13" t="s">
        <v>802</v>
      </c>
      <c r="E30" s="13"/>
    </row>
    <row r="31" spans="2:5" x14ac:dyDescent="0.25">
      <c r="B31" s="13" t="s">
        <v>762</v>
      </c>
      <c r="C31" s="13" t="s">
        <v>797</v>
      </c>
      <c r="D31" s="13" t="s">
        <v>803</v>
      </c>
      <c r="E31" s="13"/>
    </row>
    <row r="32" spans="2:5" x14ac:dyDescent="0.25">
      <c r="B32" s="13" t="s">
        <v>762</v>
      </c>
      <c r="C32" s="13" t="s">
        <v>797</v>
      </c>
      <c r="D32" s="13" t="s">
        <v>804</v>
      </c>
      <c r="E32" s="13"/>
    </row>
    <row r="33" spans="2:5" x14ac:dyDescent="0.25">
      <c r="B33" s="13" t="s">
        <v>762</v>
      </c>
      <c r="C33" s="13" t="s">
        <v>797</v>
      </c>
      <c r="D33" s="13" t="s">
        <v>805</v>
      </c>
      <c r="E33" s="13"/>
    </row>
    <row r="34" spans="2:5" x14ac:dyDescent="0.25">
      <c r="B34" s="13" t="s">
        <v>806</v>
      </c>
      <c r="C34" s="13" t="s">
        <v>797</v>
      </c>
      <c r="D34" s="13" t="s">
        <v>807</v>
      </c>
      <c r="E34" s="13"/>
    </row>
    <row r="35" spans="2:5" x14ac:dyDescent="0.25">
      <c r="B35" s="13" t="s">
        <v>762</v>
      </c>
      <c r="C35" s="13" t="s">
        <v>797</v>
      </c>
      <c r="D35" s="13" t="s">
        <v>808</v>
      </c>
      <c r="E35" s="13"/>
    </row>
    <row r="36" spans="2:5" x14ac:dyDescent="0.25">
      <c r="B36" s="13" t="s">
        <v>809</v>
      </c>
      <c r="C36" s="13" t="s">
        <v>810</v>
      </c>
      <c r="D36" s="13" t="s">
        <v>811</v>
      </c>
      <c r="E36" s="13"/>
    </row>
    <row r="37" spans="2:5" x14ac:dyDescent="0.25">
      <c r="B37" s="13" t="s">
        <v>809</v>
      </c>
      <c r="C37" s="13" t="s">
        <v>810</v>
      </c>
      <c r="D37" s="13" t="s">
        <v>812</v>
      </c>
      <c r="E37" s="13"/>
    </row>
    <row r="38" spans="2:5" x14ac:dyDescent="0.25">
      <c r="B38" s="13" t="s">
        <v>809</v>
      </c>
      <c r="C38" s="13" t="s">
        <v>810</v>
      </c>
      <c r="D38" s="13" t="s">
        <v>813</v>
      </c>
      <c r="E38" s="13"/>
    </row>
    <row r="39" spans="2:5" x14ac:dyDescent="0.25">
      <c r="B39" s="13" t="s">
        <v>809</v>
      </c>
      <c r="C39" s="13" t="s">
        <v>810</v>
      </c>
      <c r="D39" s="13" t="s">
        <v>814</v>
      </c>
      <c r="E39" s="13"/>
    </row>
    <row r="40" spans="2:5" x14ac:dyDescent="0.25">
      <c r="B40" s="13" t="s">
        <v>809</v>
      </c>
      <c r="C40" s="13" t="s">
        <v>810</v>
      </c>
      <c r="D40" s="13" t="s">
        <v>815</v>
      </c>
      <c r="E40" s="13"/>
    </row>
    <row r="41" spans="2:5" x14ac:dyDescent="0.25">
      <c r="B41" s="247" t="s">
        <v>816</v>
      </c>
      <c r="C41" s="247" t="s">
        <v>817</v>
      </c>
      <c r="D41" s="247" t="s">
        <v>818</v>
      </c>
    </row>
    <row r="42" spans="2:5" x14ac:dyDescent="0.25">
      <c r="C42" s="247" t="s">
        <v>819</v>
      </c>
      <c r="D42" s="247" t="s">
        <v>820</v>
      </c>
      <c r="E42" t="s">
        <v>821</v>
      </c>
    </row>
    <row r="43" spans="2:5" x14ac:dyDescent="0.25">
      <c r="C43" s="247" t="s">
        <v>819</v>
      </c>
      <c r="D43" s="247" t="s">
        <v>822</v>
      </c>
      <c r="E43" t="s">
        <v>823</v>
      </c>
    </row>
    <row r="44" spans="2:5" x14ac:dyDescent="0.25">
      <c r="C44" s="247" t="s">
        <v>819</v>
      </c>
      <c r="D44" s="247" t="s">
        <v>824</v>
      </c>
    </row>
    <row r="45" spans="2:5" x14ac:dyDescent="0.25">
      <c r="C45" s="247" t="s">
        <v>819</v>
      </c>
      <c r="D45" s="247" t="s">
        <v>825</v>
      </c>
    </row>
    <row r="46" spans="2:5" x14ac:dyDescent="0.25">
      <c r="C46" s="247" t="s">
        <v>826</v>
      </c>
      <c r="D46" t="s">
        <v>827</v>
      </c>
    </row>
    <row r="47" spans="2:5" x14ac:dyDescent="0.25">
      <c r="C47" s="247" t="s">
        <v>828</v>
      </c>
      <c r="D47" t="s">
        <v>829</v>
      </c>
    </row>
    <row r="48" spans="2:5" x14ac:dyDescent="0.25">
      <c r="C48" s="247" t="s">
        <v>830</v>
      </c>
      <c r="D48" t="s">
        <v>831</v>
      </c>
    </row>
    <row r="49" spans="4:4" x14ac:dyDescent="0.25">
      <c r="D49" t="s">
        <v>832</v>
      </c>
    </row>
    <row r="50" spans="4:4" x14ac:dyDescent="0.25"/>
  </sheetData>
  <phoneticPr fontId="5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21</vt:i4>
      </vt:variant>
    </vt:vector>
  </HeadingPairs>
  <TitlesOfParts>
    <vt:vector size="34" baseType="lpstr">
      <vt:lpstr>TABLA DINÁMICA 2</vt:lpstr>
      <vt:lpstr>1. INVERSIÓN</vt:lpstr>
      <vt:lpstr>5. FUNCIONAMIENTO </vt:lpstr>
      <vt:lpstr>2. RESUMEN INVERSIÓN</vt:lpstr>
      <vt:lpstr>3. FUNCIONAMIENTO FINAL</vt:lpstr>
      <vt:lpstr>LISTADOS DESPLEGABLES</vt:lpstr>
      <vt:lpstr>4. RESUMEN FUNCIONAMIENTO</vt:lpstr>
      <vt:lpstr>5. TOPES INDICATIVOS</vt:lpstr>
      <vt:lpstr>CONTROL DE CAMBIOS </vt:lpstr>
      <vt:lpstr>DISTRIBUCIÓN</vt:lpstr>
      <vt:lpstr>DISTRIBUCIÓN 2</vt:lpstr>
      <vt:lpstr>VERSIÓN SIN QUITAR CEROS</vt:lpstr>
      <vt:lpstr>FÓRMULAS</vt:lpstr>
      <vt:lpstr>ABRIL</vt:lpstr>
      <vt:lpstr>AGOSTO</vt:lpstr>
      <vt:lpstr>'1. INVERSIÓN'!Área_de_impresión</vt:lpstr>
      <vt:lpstr>DÍAS</vt:lpstr>
      <vt:lpstr>DICIEMBRE</vt:lpstr>
      <vt:lpstr>ENERO</vt:lpstr>
      <vt:lpstr>FEBRERO</vt:lpstr>
      <vt:lpstr>FUENTE_DE_LOS_RECURSOS</vt:lpstr>
      <vt:lpstr>GC</vt:lpstr>
      <vt:lpstr>JULIO</vt:lpstr>
      <vt:lpstr>JUNIO</vt:lpstr>
      <vt:lpstr>MARZO</vt:lpstr>
      <vt:lpstr>MAYO</vt:lpstr>
      <vt:lpstr>MESES</vt:lpstr>
      <vt:lpstr>MODALIDAD_DE_CONTRATACIÓN</vt:lpstr>
      <vt:lpstr>NOVIEMBRE</vt:lpstr>
      <vt:lpstr>OCTUBRE</vt:lpstr>
      <vt:lpstr>PROCESOS</vt:lpstr>
      <vt:lpstr>SINO</vt:lpstr>
      <vt:lpstr>SUBDIRECCIÓN</vt:lpstr>
      <vt:lpstr>VF</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Cristian.Velandia</dc:creator>
  <cp:keywords/>
  <dc:description/>
  <cp:lastModifiedBy>Diana Carolina</cp:lastModifiedBy>
  <cp:revision/>
  <dcterms:created xsi:type="dcterms:W3CDTF">2017-08-16T16:44:32Z</dcterms:created>
  <dcterms:modified xsi:type="dcterms:W3CDTF">2022-02-01T04:43:29Z</dcterms:modified>
  <cp:category/>
  <cp:contentStatus/>
</cp:coreProperties>
</file>